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ivotTables/pivotTable1.xml" ContentType="application/vnd.openxmlformats-officedocument.spreadsheetml.pivotTable+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E916053\Downloads\"/>
    </mc:Choice>
  </mc:AlternateContent>
  <xr:revisionPtr revIDLastSave="0" documentId="13_ncr:1_{41020FBD-2650-4EBB-93E0-253DC3FB210B}" xr6:coauthVersionLast="47" xr6:coauthVersionMax="47" xr10:uidLastSave="{00000000-0000-0000-0000-000000000000}"/>
  <bookViews>
    <workbookView xWindow="-120" yWindow="-120" windowWidth="29040" windowHeight="15720" xr2:uid="{7D229D66-900C-4347-B141-1069A3B0C045}"/>
  </bookViews>
  <sheets>
    <sheet name="1- Ex Ante Results" sheetId="14" r:id="rId1"/>
    <sheet name="1- Ex Ante Results Orig" sheetId="13" state="hidden" r:id="rId2"/>
    <sheet name="9+3 Spend LE" sheetId="11" state="hidden" r:id="rId3"/>
    <sheet name="9+3 Savings LE" sheetId="12" state="hidden" r:id="rId4"/>
    <sheet name="Sheet1" sheetId="15" state="hidden" r:id="rId5"/>
    <sheet name="2- Costs" sheetId="2" r:id="rId6"/>
    <sheet name="3- Energy" sheetId="3" r:id="rId7"/>
    <sheet name="4- Other" sheetId="4" r:id="rId8"/>
    <sheet name="5- CPAS" sheetId="7" r:id="rId9"/>
    <sheet name="6- Historical Costs" sheetId="8" r:id="rId10"/>
  </sheets>
  <externalReferences>
    <externalReference r:id="rId11"/>
  </externalReferences>
  <definedNames>
    <definedName name="_xlnm._FilterDatabase" localSheetId="0" hidden="1">'1- Ex Ante Results'!$C$20:$N$116</definedName>
    <definedName name="_xlnm._FilterDatabase" localSheetId="1" hidden="1">'1- Ex Ante Results Orig'!$C$20:$N$115</definedName>
    <definedName name="_xlnm._FilterDatabase" localSheetId="6" hidden="1">'3- Energy'!$E$31:$E$32</definedName>
    <definedName name="_xlnm._FilterDatabase" localSheetId="4" hidden="1">Sheet1!$B$2:$U$129</definedName>
    <definedName name="_xlnm.Print_Area" localSheetId="0">'1- Ex Ante Results'!$B$1:$N$125</definedName>
    <definedName name="_xlnm.Print_Area" localSheetId="1">'1- Ex Ante Results Orig'!$B$1:$N$124</definedName>
    <definedName name="_xlnm.Print_Area" localSheetId="9">'6- Historical Costs'!$A$1:$G$31</definedName>
    <definedName name="q3LEcheck">Sheet1!$B$197:$D$243</definedName>
  </definedNames>
  <calcPr calcId="191028"/>
  <pivotCaches>
    <pivotCache cacheId="4"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4" i="11" l="1"/>
  <c r="H134" i="11"/>
  <c r="F134" i="11"/>
  <c r="E79" i="14"/>
  <c r="D79" i="14" l="1"/>
  <c r="G79" i="14"/>
  <c r="B12" i="8" l="1"/>
  <c r="B14" i="7"/>
  <c r="B10" i="2"/>
  <c r="B12" i="3"/>
  <c r="B10" i="4"/>
  <c r="F93" i="14" l="1"/>
  <c r="F92" i="14"/>
  <c r="F91" i="14"/>
  <c r="F103" i="14"/>
  <c r="F79" i="14" s="1"/>
  <c r="F104" i="14"/>
  <c r="H113" i="14" l="1"/>
  <c r="F113" i="14"/>
  <c r="F115" i="14"/>
  <c r="F114" i="14"/>
  <c r="H112" i="14"/>
  <c r="F112" i="14"/>
  <c r="J111" i="14"/>
  <c r="E111" i="14"/>
  <c r="H110" i="14"/>
  <c r="F109" i="14"/>
  <c r="L111" i="14"/>
  <c r="F108" i="14"/>
  <c r="H105" i="14"/>
  <c r="F105" i="14"/>
  <c r="L76" i="14"/>
  <c r="F102" i="14"/>
  <c r="F100" i="14"/>
  <c r="F99" i="14"/>
  <c r="F97" i="14"/>
  <c r="E72" i="14"/>
  <c r="H92" i="14"/>
  <c r="M80" i="14"/>
  <c r="F90" i="14"/>
  <c r="H90" i="14" s="1"/>
  <c r="L78" i="14"/>
  <c r="F89" i="14"/>
  <c r="L77" i="14"/>
  <c r="I77" i="14"/>
  <c r="F88" i="14"/>
  <c r="F87" i="14"/>
  <c r="L74" i="14"/>
  <c r="F86" i="14"/>
  <c r="F85" i="14"/>
  <c r="F84" i="14"/>
  <c r="M71" i="14"/>
  <c r="L71" i="14"/>
  <c r="F83" i="14"/>
  <c r="E78" i="14"/>
  <c r="F78" i="14" s="1"/>
  <c r="E77" i="14"/>
  <c r="F77" i="14" s="1"/>
  <c r="M76" i="14"/>
  <c r="E76" i="14"/>
  <c r="F76" i="14" s="1"/>
  <c r="E74" i="14"/>
  <c r="F74" i="14" s="1"/>
  <c r="E71" i="14"/>
  <c r="F71" i="14" s="1"/>
  <c r="H68" i="14"/>
  <c r="F68" i="14"/>
  <c r="F67" i="14"/>
  <c r="H66" i="14"/>
  <c r="F66" i="14"/>
  <c r="F65" i="14"/>
  <c r="F64" i="14"/>
  <c r="F63" i="14"/>
  <c r="N62" i="14"/>
  <c r="K62" i="14"/>
  <c r="H62" i="14"/>
  <c r="F62" i="14"/>
  <c r="F61" i="14"/>
  <c r="F60" i="14"/>
  <c r="F59" i="14"/>
  <c r="F58" i="14"/>
  <c r="E57" i="14"/>
  <c r="F57" i="14" s="1"/>
  <c r="L36" i="14"/>
  <c r="H54" i="14"/>
  <c r="F54" i="14"/>
  <c r="H53" i="14"/>
  <c r="F53" i="14"/>
  <c r="L33" i="14"/>
  <c r="F52" i="14"/>
  <c r="L32" i="14"/>
  <c r="I32" i="14"/>
  <c r="H51" i="14"/>
  <c r="F51" i="14"/>
  <c r="L28" i="14"/>
  <c r="F50" i="14"/>
  <c r="F49" i="14"/>
  <c r="L30" i="14"/>
  <c r="F48" i="14"/>
  <c r="L29" i="14"/>
  <c r="F47" i="14"/>
  <c r="K46" i="14"/>
  <c r="G34" i="14"/>
  <c r="F46" i="14"/>
  <c r="F34" i="14" s="1"/>
  <c r="D34" i="14"/>
  <c r="F45" i="14"/>
  <c r="F44" i="14"/>
  <c r="K43" i="14"/>
  <c r="H43" i="14"/>
  <c r="F43" i="14"/>
  <c r="L25" i="14"/>
  <c r="D25" i="14"/>
  <c r="F41" i="14"/>
  <c r="F40" i="14"/>
  <c r="E39" i="14"/>
  <c r="F39" i="14" s="1"/>
  <c r="J36" i="14"/>
  <c r="H36" i="14"/>
  <c r="F36" i="14"/>
  <c r="L35" i="14"/>
  <c r="J35" i="14"/>
  <c r="H35" i="14"/>
  <c r="F35" i="14"/>
  <c r="L34" i="14"/>
  <c r="K34" i="14"/>
  <c r="J34" i="14"/>
  <c r="I34" i="14"/>
  <c r="E34" i="14"/>
  <c r="J33" i="14"/>
  <c r="E33" i="14"/>
  <c r="F33" i="14" s="1"/>
  <c r="G32" i="14"/>
  <c r="E32" i="14"/>
  <c r="L31" i="14"/>
  <c r="J31" i="14"/>
  <c r="E31" i="14"/>
  <c r="F31" i="14" s="1"/>
  <c r="E30" i="14"/>
  <c r="F30" i="14" s="1"/>
  <c r="E29" i="14"/>
  <c r="F29" i="14" s="1"/>
  <c r="E28" i="14"/>
  <c r="F28" i="14" s="1"/>
  <c r="E27" i="14"/>
  <c r="E26" i="14"/>
  <c r="F26" i="14" s="1"/>
  <c r="M25" i="14"/>
  <c r="K25" i="14"/>
  <c r="J25" i="14"/>
  <c r="G25" i="14"/>
  <c r="H25" i="14" s="1"/>
  <c r="E25" i="14"/>
  <c r="F25" i="14" s="1"/>
  <c r="E24" i="14"/>
  <c r="F24" i="14" s="1"/>
  <c r="E23" i="14"/>
  <c r="F23" i="14" s="1"/>
  <c r="E22" i="14"/>
  <c r="F22" i="14" s="1"/>
  <c r="E115" i="13"/>
  <c r="F115" i="13"/>
  <c r="F114" i="13"/>
  <c r="F113" i="13"/>
  <c r="H112" i="13"/>
  <c r="F112" i="13"/>
  <c r="J111" i="13"/>
  <c r="M110" i="13"/>
  <c r="L110" i="13"/>
  <c r="I110" i="13"/>
  <c r="H110" i="13"/>
  <c r="F109" i="13"/>
  <c r="M108" i="13"/>
  <c r="L108" i="13"/>
  <c r="I108" i="13"/>
  <c r="K108" i="13" s="1"/>
  <c r="K111" i="13" s="1"/>
  <c r="F108" i="13"/>
  <c r="F111" i="13" s="1"/>
  <c r="E108" i="13"/>
  <c r="E111" i="13" s="1"/>
  <c r="M105" i="13"/>
  <c r="L105" i="13"/>
  <c r="I105" i="13"/>
  <c r="J105" i="13" s="1"/>
  <c r="H105" i="13"/>
  <c r="F105" i="13"/>
  <c r="M104" i="13"/>
  <c r="L104" i="13"/>
  <c r="I104" i="13"/>
  <c r="J104" i="13" s="1"/>
  <c r="K104" i="13" s="1"/>
  <c r="F104" i="13"/>
  <c r="M103" i="13"/>
  <c r="L103" i="13"/>
  <c r="I103" i="13"/>
  <c r="F103" i="13"/>
  <c r="M102" i="13"/>
  <c r="M76" i="13" s="1"/>
  <c r="L102" i="13"/>
  <c r="L76" i="13" s="1"/>
  <c r="I102" i="13"/>
  <c r="J102" i="13" s="1"/>
  <c r="F102" i="13"/>
  <c r="M101" i="13"/>
  <c r="L101" i="13"/>
  <c r="I101" i="13"/>
  <c r="E101" i="13"/>
  <c r="E75" i="13" s="1"/>
  <c r="F75" i="13" s="1"/>
  <c r="M100" i="13"/>
  <c r="L100" i="13"/>
  <c r="I100" i="13"/>
  <c r="E100" i="13"/>
  <c r="F100" i="13" s="1"/>
  <c r="M99" i="13"/>
  <c r="L99" i="13"/>
  <c r="I99" i="13"/>
  <c r="J99" i="13" s="1"/>
  <c r="K99" i="13" s="1"/>
  <c r="F99" i="13"/>
  <c r="M98" i="13"/>
  <c r="L98" i="13"/>
  <c r="I98" i="13"/>
  <c r="E98" i="13"/>
  <c r="F98" i="13" s="1"/>
  <c r="M97" i="13"/>
  <c r="L97" i="13"/>
  <c r="I97" i="13"/>
  <c r="F97" i="13"/>
  <c r="M96" i="13"/>
  <c r="L96" i="13"/>
  <c r="I96" i="13"/>
  <c r="E96" i="13"/>
  <c r="M93" i="13"/>
  <c r="L93" i="13"/>
  <c r="I93" i="13"/>
  <c r="J93" i="13" s="1"/>
  <c r="F93" i="13"/>
  <c r="M92" i="13"/>
  <c r="L92" i="13"/>
  <c r="I92" i="13"/>
  <c r="F92" i="13"/>
  <c r="F91" i="13"/>
  <c r="M90" i="13"/>
  <c r="L90" i="13"/>
  <c r="I90" i="13"/>
  <c r="G90" i="13"/>
  <c r="H90" i="13" s="1"/>
  <c r="F90" i="13"/>
  <c r="M89" i="13"/>
  <c r="L89" i="13"/>
  <c r="L78" i="13" s="1"/>
  <c r="I89" i="13"/>
  <c r="F89" i="13"/>
  <c r="M88" i="13"/>
  <c r="L88" i="13"/>
  <c r="L77" i="13" s="1"/>
  <c r="I88" i="13"/>
  <c r="J88" i="13" s="1"/>
  <c r="F88" i="13"/>
  <c r="M87" i="13"/>
  <c r="L87" i="13"/>
  <c r="I87" i="13"/>
  <c r="F87" i="13"/>
  <c r="M86" i="13"/>
  <c r="L86" i="13"/>
  <c r="I86" i="13"/>
  <c r="E86" i="13"/>
  <c r="F86" i="13" s="1"/>
  <c r="M85" i="13"/>
  <c r="L85" i="13"/>
  <c r="I85" i="13"/>
  <c r="J85" i="13" s="1"/>
  <c r="K85" i="13" s="1"/>
  <c r="F85" i="13"/>
  <c r="M84" i="13"/>
  <c r="L84" i="13"/>
  <c r="I84" i="13"/>
  <c r="F84" i="13"/>
  <c r="M83" i="13"/>
  <c r="N83" i="13" s="1"/>
  <c r="L83" i="13"/>
  <c r="L71" i="13" s="1"/>
  <c r="I83" i="13"/>
  <c r="I71" i="13" s="1"/>
  <c r="F83" i="13"/>
  <c r="E79" i="13"/>
  <c r="F78" i="13"/>
  <c r="E78" i="13"/>
  <c r="E77" i="13"/>
  <c r="F77" i="13" s="1"/>
  <c r="E76" i="13"/>
  <c r="F76" i="13" s="1"/>
  <c r="E73" i="13"/>
  <c r="F73" i="13" s="1"/>
  <c r="F71" i="13"/>
  <c r="E71" i="13"/>
  <c r="M68" i="13"/>
  <c r="L68" i="13"/>
  <c r="I68" i="13"/>
  <c r="K68" i="13" s="1"/>
  <c r="H68" i="13"/>
  <c r="F68" i="13"/>
  <c r="M67" i="13"/>
  <c r="L67" i="13"/>
  <c r="I67" i="13"/>
  <c r="K67" i="13" s="1"/>
  <c r="F67" i="13"/>
  <c r="M66" i="13"/>
  <c r="L66" i="13"/>
  <c r="I66" i="13"/>
  <c r="H66" i="13"/>
  <c r="F66" i="13"/>
  <c r="M65" i="13"/>
  <c r="L65" i="13"/>
  <c r="I65" i="13"/>
  <c r="F65" i="13"/>
  <c r="M64" i="13"/>
  <c r="L64" i="13"/>
  <c r="I64" i="13"/>
  <c r="K64" i="13" s="1"/>
  <c r="F64" i="13"/>
  <c r="M63" i="13"/>
  <c r="L63" i="13"/>
  <c r="I63" i="13"/>
  <c r="F63" i="13"/>
  <c r="N62" i="13"/>
  <c r="M62" i="13"/>
  <c r="K62" i="13"/>
  <c r="H62" i="13"/>
  <c r="F62" i="13"/>
  <c r="M61" i="13"/>
  <c r="L61" i="13"/>
  <c r="I61" i="13"/>
  <c r="F61" i="13"/>
  <c r="M60" i="13"/>
  <c r="L60" i="13"/>
  <c r="I60" i="13"/>
  <c r="F60" i="13"/>
  <c r="M59" i="13"/>
  <c r="L59" i="13"/>
  <c r="I59" i="13"/>
  <c r="F59" i="13"/>
  <c r="M58" i="13"/>
  <c r="L58" i="13"/>
  <c r="I58" i="13"/>
  <c r="F58" i="13"/>
  <c r="E57" i="13"/>
  <c r="F57" i="13" s="1"/>
  <c r="M54" i="13"/>
  <c r="M36" i="13" s="1"/>
  <c r="L54" i="13"/>
  <c r="L36" i="13" s="1"/>
  <c r="I54" i="13"/>
  <c r="K54" i="13" s="1"/>
  <c r="K36" i="13" s="1"/>
  <c r="H54" i="13"/>
  <c r="F54" i="13"/>
  <c r="M53" i="13"/>
  <c r="L53" i="13"/>
  <c r="I53" i="13"/>
  <c r="K53" i="13" s="1"/>
  <c r="H53" i="13"/>
  <c r="F53" i="13"/>
  <c r="M52" i="13"/>
  <c r="L52" i="13"/>
  <c r="I52" i="13"/>
  <c r="F52" i="13"/>
  <c r="M51" i="13"/>
  <c r="L51" i="13"/>
  <c r="I51" i="13"/>
  <c r="I32" i="13" s="1"/>
  <c r="H51" i="13"/>
  <c r="F51" i="13"/>
  <c r="M50" i="13"/>
  <c r="L50" i="13"/>
  <c r="I50" i="13"/>
  <c r="F50" i="13"/>
  <c r="M49" i="13"/>
  <c r="L49" i="13"/>
  <c r="L31" i="13" s="1"/>
  <c r="I49" i="13"/>
  <c r="F49" i="13"/>
  <c r="M48" i="13"/>
  <c r="L48" i="13"/>
  <c r="I48" i="13"/>
  <c r="F48" i="13"/>
  <c r="M47" i="13"/>
  <c r="M29" i="13" s="1"/>
  <c r="L47" i="13"/>
  <c r="L29" i="13" s="1"/>
  <c r="I47" i="13"/>
  <c r="I29" i="13" s="1"/>
  <c r="F47" i="13"/>
  <c r="M46" i="13"/>
  <c r="N46" i="13" s="1"/>
  <c r="N34" i="13" s="1"/>
  <c r="K46" i="13"/>
  <c r="F46" i="13"/>
  <c r="M45" i="13"/>
  <c r="L45" i="13"/>
  <c r="L27" i="13" s="1"/>
  <c r="I45" i="13"/>
  <c r="F45" i="13"/>
  <c r="M44" i="13"/>
  <c r="L44" i="13"/>
  <c r="I44" i="13"/>
  <c r="J44" i="13" s="1"/>
  <c r="F44" i="13"/>
  <c r="L43" i="13"/>
  <c r="M43" i="13" s="1"/>
  <c r="K43" i="13"/>
  <c r="I43" i="13"/>
  <c r="H43" i="13"/>
  <c r="F43" i="13"/>
  <c r="L42" i="13"/>
  <c r="L25" i="13" s="1"/>
  <c r="I42" i="13"/>
  <c r="I25" i="13" s="1"/>
  <c r="M41" i="13"/>
  <c r="L41" i="13"/>
  <c r="I41" i="13"/>
  <c r="F41" i="13"/>
  <c r="M40" i="13"/>
  <c r="L40" i="13"/>
  <c r="I40" i="13"/>
  <c r="F40" i="13"/>
  <c r="E39" i="13"/>
  <c r="F39" i="13" s="1"/>
  <c r="J36" i="13"/>
  <c r="H36" i="13"/>
  <c r="F36" i="13"/>
  <c r="J35" i="13"/>
  <c r="H35" i="13"/>
  <c r="F35" i="13"/>
  <c r="M34" i="13"/>
  <c r="L34" i="13"/>
  <c r="K34" i="13"/>
  <c r="J34" i="13"/>
  <c r="I34" i="13"/>
  <c r="F34" i="13"/>
  <c r="E34" i="13"/>
  <c r="J33" i="13"/>
  <c r="E33" i="13"/>
  <c r="F33" i="13" s="1"/>
  <c r="G32" i="13"/>
  <c r="E32" i="13"/>
  <c r="J31" i="13"/>
  <c r="F31" i="13"/>
  <c r="E31" i="13"/>
  <c r="E30" i="13"/>
  <c r="F30" i="13" s="1"/>
  <c r="E29" i="13"/>
  <c r="F29" i="13" s="1"/>
  <c r="E28" i="13"/>
  <c r="F28" i="13" s="1"/>
  <c r="E27" i="13"/>
  <c r="F27" i="13" s="1"/>
  <c r="E26" i="13"/>
  <c r="F26" i="13" s="1"/>
  <c r="M25" i="13"/>
  <c r="K25" i="13"/>
  <c r="J25" i="13"/>
  <c r="H25" i="13"/>
  <c r="G25" i="13"/>
  <c r="E25" i="13"/>
  <c r="F25" i="13" s="1"/>
  <c r="E24" i="13"/>
  <c r="F24" i="13" s="1"/>
  <c r="E23" i="13"/>
  <c r="F23" i="13" s="1"/>
  <c r="F94" i="14" l="1"/>
  <c r="N46" i="14"/>
  <c r="N34" i="14" s="1"/>
  <c r="M34" i="14"/>
  <c r="I24" i="13"/>
  <c r="N61" i="13"/>
  <c r="N87" i="13"/>
  <c r="N89" i="13"/>
  <c r="L72" i="14"/>
  <c r="M26" i="14"/>
  <c r="L24" i="13"/>
  <c r="M74" i="13"/>
  <c r="N88" i="13"/>
  <c r="M27" i="13"/>
  <c r="M24" i="13"/>
  <c r="N58" i="13"/>
  <c r="N60" i="13"/>
  <c r="M28" i="14"/>
  <c r="I36" i="14"/>
  <c r="L28" i="13"/>
  <c r="N52" i="13"/>
  <c r="L75" i="13"/>
  <c r="N92" i="13"/>
  <c r="I35" i="13"/>
  <c r="M26" i="13"/>
  <c r="N26" i="13" s="1"/>
  <c r="I77" i="13"/>
  <c r="L35" i="13"/>
  <c r="I26" i="13"/>
  <c r="L23" i="13"/>
  <c r="L26" i="13"/>
  <c r="M30" i="13"/>
  <c r="I28" i="14"/>
  <c r="I35" i="14"/>
  <c r="I57" i="14"/>
  <c r="I69" i="14" s="1"/>
  <c r="C14" i="2" s="1"/>
  <c r="M78" i="14"/>
  <c r="L57" i="14"/>
  <c r="L69" i="14" s="1"/>
  <c r="N43" i="13"/>
  <c r="M77" i="13"/>
  <c r="N77" i="13" s="1"/>
  <c r="I36" i="13"/>
  <c r="M32" i="14"/>
  <c r="N32" i="14" s="1"/>
  <c r="L72" i="13"/>
  <c r="L73" i="13"/>
  <c r="M36" i="14"/>
  <c r="L39" i="14"/>
  <c r="M32" i="13"/>
  <c r="I75" i="13"/>
  <c r="N93" i="13"/>
  <c r="M30" i="14"/>
  <c r="L27" i="14"/>
  <c r="K52" i="14"/>
  <c r="I73" i="14"/>
  <c r="I78" i="14"/>
  <c r="N53" i="14"/>
  <c r="N54" i="14"/>
  <c r="L79" i="14"/>
  <c r="L80" i="14"/>
  <c r="M28" i="13"/>
  <c r="M33" i="13"/>
  <c r="I74" i="13"/>
  <c r="L32" i="13"/>
  <c r="L74" i="13"/>
  <c r="I29" i="14"/>
  <c r="M31" i="14"/>
  <c r="M71" i="13"/>
  <c r="N71" i="13" s="1"/>
  <c r="I31" i="14"/>
  <c r="L111" i="13"/>
  <c r="K53" i="14"/>
  <c r="K54" i="14"/>
  <c r="K36" i="14" s="1"/>
  <c r="K44" i="13"/>
  <c r="N48" i="13"/>
  <c r="I28" i="13"/>
  <c r="M57" i="13"/>
  <c r="N97" i="13"/>
  <c r="N103" i="13"/>
  <c r="J58" i="14"/>
  <c r="K58" i="14" s="1"/>
  <c r="N60" i="14"/>
  <c r="N88" i="14"/>
  <c r="N97" i="14"/>
  <c r="J99" i="14"/>
  <c r="K99" i="14" s="1"/>
  <c r="N105" i="14"/>
  <c r="M79" i="14"/>
  <c r="N45" i="14"/>
  <c r="N58" i="14"/>
  <c r="J87" i="14"/>
  <c r="K87" i="14" s="1"/>
  <c r="N90" i="14"/>
  <c r="N99" i="14"/>
  <c r="N110" i="14"/>
  <c r="I24" i="14"/>
  <c r="L23" i="14"/>
  <c r="L75" i="14"/>
  <c r="J89" i="14"/>
  <c r="N49" i="13"/>
  <c r="I106" i="13"/>
  <c r="N100" i="13"/>
  <c r="N105" i="13"/>
  <c r="M23" i="14"/>
  <c r="L26" i="14"/>
  <c r="N47" i="14"/>
  <c r="J51" i="14"/>
  <c r="K51" i="14" s="1"/>
  <c r="N52" i="14"/>
  <c r="M75" i="14"/>
  <c r="J96" i="14"/>
  <c r="K96" i="14" s="1"/>
  <c r="J102" i="14"/>
  <c r="J76" i="14" s="1"/>
  <c r="I111" i="14"/>
  <c r="L39" i="13"/>
  <c r="M35" i="13"/>
  <c r="N35" i="13" s="1"/>
  <c r="L79" i="13"/>
  <c r="N85" i="13"/>
  <c r="N40" i="14"/>
  <c r="M39" i="13"/>
  <c r="M55" i="13" s="1"/>
  <c r="L57" i="13"/>
  <c r="L69" i="13" s="1"/>
  <c r="J60" i="13"/>
  <c r="L33" i="13"/>
  <c r="M78" i="13"/>
  <c r="J92" i="13"/>
  <c r="N45" i="13"/>
  <c r="N32" i="13"/>
  <c r="I80" i="13"/>
  <c r="N110" i="13"/>
  <c r="N65" i="14"/>
  <c r="K68" i="14"/>
  <c r="J92" i="14"/>
  <c r="K92" i="14" s="1"/>
  <c r="M31" i="13"/>
  <c r="I25" i="14"/>
  <c r="N25" i="14" s="1"/>
  <c r="M27" i="14"/>
  <c r="N48" i="14"/>
  <c r="J88" i="14"/>
  <c r="K88" i="14" s="1"/>
  <c r="K77" i="14" s="1"/>
  <c r="L55" i="14"/>
  <c r="N43" i="14"/>
  <c r="J45" i="14"/>
  <c r="K45" i="14" s="1"/>
  <c r="K67" i="14"/>
  <c r="M111" i="14"/>
  <c r="M94" i="14"/>
  <c r="I71" i="14"/>
  <c r="N71" i="14" s="1"/>
  <c r="N44" i="14"/>
  <c r="N50" i="14"/>
  <c r="L73" i="14"/>
  <c r="I23" i="14"/>
  <c r="I39" i="14"/>
  <c r="I55" i="14" s="1"/>
  <c r="C13" i="2" s="1"/>
  <c r="J85" i="14"/>
  <c r="K85" i="14" s="1"/>
  <c r="F96" i="14"/>
  <c r="N86" i="14"/>
  <c r="N87" i="14"/>
  <c r="J48" i="14"/>
  <c r="K48" i="14" s="1"/>
  <c r="J65" i="14"/>
  <c r="K65" i="14" s="1"/>
  <c r="M74" i="14"/>
  <c r="I94" i="14"/>
  <c r="C15" i="2" s="1"/>
  <c r="F32" i="14"/>
  <c r="F37" i="14" s="1"/>
  <c r="J60" i="14"/>
  <c r="K60" i="14" s="1"/>
  <c r="N64" i="14"/>
  <c r="I75" i="14"/>
  <c r="N75" i="14" s="1"/>
  <c r="M77" i="14"/>
  <c r="N77" i="14" s="1"/>
  <c r="N85" i="14"/>
  <c r="N89" i="14"/>
  <c r="I80" i="14"/>
  <c r="N80" i="14" s="1"/>
  <c r="N92" i="14"/>
  <c r="N102" i="14"/>
  <c r="N104" i="14"/>
  <c r="I33" i="14"/>
  <c r="F55" i="14"/>
  <c r="N93" i="14"/>
  <c r="N100" i="14"/>
  <c r="N101" i="14"/>
  <c r="N83" i="14"/>
  <c r="E94" i="14"/>
  <c r="E80" i="14" s="1"/>
  <c r="F80" i="14" s="1"/>
  <c r="G80" i="14" s="1"/>
  <c r="H80" i="14" s="1"/>
  <c r="M106" i="14"/>
  <c r="I76" i="14"/>
  <c r="N76" i="14" s="1"/>
  <c r="F111" i="14"/>
  <c r="H32" i="14"/>
  <c r="D32" i="14"/>
  <c r="H93" i="14"/>
  <c r="H103" i="14"/>
  <c r="H79" i="14" s="1"/>
  <c r="H91" i="14"/>
  <c r="H104" i="14"/>
  <c r="N103" i="14"/>
  <c r="J103" i="14"/>
  <c r="K103" i="14" s="1"/>
  <c r="M39" i="14"/>
  <c r="N41" i="14"/>
  <c r="N49" i="14"/>
  <c r="K49" i="14"/>
  <c r="M57" i="14"/>
  <c r="M69" i="14" s="1"/>
  <c r="N59" i="14"/>
  <c r="L24" i="14"/>
  <c r="M24" i="14"/>
  <c r="N24" i="14" s="1"/>
  <c r="M29" i="14"/>
  <c r="F69" i="14"/>
  <c r="E73" i="14"/>
  <c r="F73" i="14" s="1"/>
  <c r="F98" i="14"/>
  <c r="F106" i="14" s="1"/>
  <c r="M33" i="14"/>
  <c r="N67" i="14"/>
  <c r="L94" i="14"/>
  <c r="N84" i="14"/>
  <c r="M72" i="14"/>
  <c r="E106" i="14"/>
  <c r="I30" i="14"/>
  <c r="N63" i="14"/>
  <c r="J63" i="14"/>
  <c r="E75" i="14"/>
  <c r="F75" i="14" s="1"/>
  <c r="F101" i="14"/>
  <c r="M35" i="14"/>
  <c r="N68" i="14"/>
  <c r="N61" i="14"/>
  <c r="I27" i="14"/>
  <c r="J61" i="14"/>
  <c r="K61" i="14" s="1"/>
  <c r="L22" i="14"/>
  <c r="F27" i="14"/>
  <c r="E37" i="14"/>
  <c r="J77" i="14"/>
  <c r="I106" i="14"/>
  <c r="C16" i="2" s="1"/>
  <c r="M73" i="14"/>
  <c r="N98" i="14"/>
  <c r="E55" i="14"/>
  <c r="L106" i="14"/>
  <c r="J44" i="14"/>
  <c r="K44" i="14" s="1"/>
  <c r="J50" i="14"/>
  <c r="F72" i="14"/>
  <c r="I79" i="14"/>
  <c r="J86" i="14"/>
  <c r="J90" i="14"/>
  <c r="K90" i="14" s="1"/>
  <c r="J93" i="14"/>
  <c r="K93" i="14" s="1"/>
  <c r="J97" i="14"/>
  <c r="K97" i="14" s="1"/>
  <c r="J100" i="14"/>
  <c r="K100" i="14" s="1"/>
  <c r="K108" i="14"/>
  <c r="K111" i="14" s="1"/>
  <c r="K64" i="14"/>
  <c r="E69" i="14"/>
  <c r="I74" i="14"/>
  <c r="J83" i="14"/>
  <c r="J104" i="14"/>
  <c r="K104" i="14" s="1"/>
  <c r="H46" i="14"/>
  <c r="H34" i="14" s="1"/>
  <c r="N96" i="14"/>
  <c r="J105" i="14"/>
  <c r="K105" i="14" s="1"/>
  <c r="J41" i="14"/>
  <c r="J47" i="14"/>
  <c r="J29" i="14" s="1"/>
  <c r="J59" i="14"/>
  <c r="J66" i="14"/>
  <c r="I72" i="14"/>
  <c r="J84" i="14"/>
  <c r="K84" i="14" s="1"/>
  <c r="J98" i="14"/>
  <c r="J101" i="14"/>
  <c r="N108" i="14"/>
  <c r="I26" i="14"/>
  <c r="J40" i="14"/>
  <c r="E74" i="13"/>
  <c r="F74" i="13" s="1"/>
  <c r="F55" i="13"/>
  <c r="F32" i="13"/>
  <c r="H32" i="13"/>
  <c r="N44" i="13"/>
  <c r="N53" i="13"/>
  <c r="K93" i="13"/>
  <c r="M23" i="13"/>
  <c r="L22" i="13"/>
  <c r="E22" i="13"/>
  <c r="E37" i="13" s="1"/>
  <c r="I33" i="13"/>
  <c r="N33" i="13" s="1"/>
  <c r="J48" i="13"/>
  <c r="K48" i="13" s="1"/>
  <c r="J83" i="13"/>
  <c r="J71" i="13" s="1"/>
  <c r="J86" i="13"/>
  <c r="J87" i="13"/>
  <c r="K87" i="13" s="1"/>
  <c r="J89" i="13"/>
  <c r="J78" i="13" s="1"/>
  <c r="J96" i="13"/>
  <c r="K96" i="13" s="1"/>
  <c r="F69" i="13"/>
  <c r="N64" i="13"/>
  <c r="J65" i="13"/>
  <c r="K65" i="13" s="1"/>
  <c r="M73" i="13"/>
  <c r="J90" i="13"/>
  <c r="K90" i="13" s="1"/>
  <c r="F79" i="13"/>
  <c r="L106" i="13"/>
  <c r="J97" i="13"/>
  <c r="K97" i="13" s="1"/>
  <c r="J100" i="13"/>
  <c r="K100" i="13" s="1"/>
  <c r="M79" i="13"/>
  <c r="N108" i="13"/>
  <c r="J50" i="13"/>
  <c r="J51" i="13"/>
  <c r="K51" i="13" s="1"/>
  <c r="K52" i="13"/>
  <c r="K33" i="13" s="1"/>
  <c r="J58" i="13"/>
  <c r="K58" i="13" s="1"/>
  <c r="I23" i="13"/>
  <c r="I57" i="13"/>
  <c r="I69" i="13" s="1"/>
  <c r="L94" i="13"/>
  <c r="N84" i="13"/>
  <c r="E94" i="13"/>
  <c r="E80" i="13" s="1"/>
  <c r="F80" i="13" s="1"/>
  <c r="G80" i="13" s="1"/>
  <c r="H80" i="13" s="1"/>
  <c r="M106" i="13"/>
  <c r="J45" i="13"/>
  <c r="K45" i="13" s="1"/>
  <c r="N50" i="13"/>
  <c r="I30" i="13"/>
  <c r="N30" i="13" s="1"/>
  <c r="N86" i="13"/>
  <c r="L80" i="13"/>
  <c r="K92" i="13"/>
  <c r="N96" i="13"/>
  <c r="N99" i="13"/>
  <c r="N102" i="13"/>
  <c r="L30" i="13"/>
  <c r="N65" i="13"/>
  <c r="I78" i="13"/>
  <c r="N90" i="13"/>
  <c r="E106" i="13"/>
  <c r="M75" i="13"/>
  <c r="N75" i="13" s="1"/>
  <c r="N25" i="13"/>
  <c r="N29" i="13"/>
  <c r="N36" i="13"/>
  <c r="N54" i="13"/>
  <c r="K35" i="13"/>
  <c r="F94" i="13"/>
  <c r="F96" i="13"/>
  <c r="N104" i="13"/>
  <c r="K105" i="13"/>
  <c r="K88" i="13"/>
  <c r="K77" i="13" s="1"/>
  <c r="J77" i="13"/>
  <c r="J76" i="13"/>
  <c r="K102" i="13"/>
  <c r="K76" i="13" s="1"/>
  <c r="F22" i="13"/>
  <c r="F37" i="13" s="1"/>
  <c r="J40" i="13"/>
  <c r="N40" i="13"/>
  <c r="I39" i="13"/>
  <c r="L55" i="13"/>
  <c r="I73" i="13"/>
  <c r="M94" i="13"/>
  <c r="I31" i="13"/>
  <c r="N41" i="13"/>
  <c r="N47" i="13"/>
  <c r="K49" i="13"/>
  <c r="K31" i="13" s="1"/>
  <c r="E55" i="13"/>
  <c r="N59" i="13"/>
  <c r="J61" i="13"/>
  <c r="K61" i="13" s="1"/>
  <c r="J63" i="13"/>
  <c r="N67" i="13"/>
  <c r="N68" i="13"/>
  <c r="E72" i="13"/>
  <c r="M72" i="13"/>
  <c r="I76" i="13"/>
  <c r="N76" i="13" s="1"/>
  <c r="M80" i="13"/>
  <c r="N80" i="13" s="1"/>
  <c r="N98" i="13"/>
  <c r="F101" i="13"/>
  <c r="F106" i="13" s="1"/>
  <c r="N101" i="13"/>
  <c r="J103" i="13"/>
  <c r="J79" i="13" s="1"/>
  <c r="M111" i="13"/>
  <c r="I79" i="13"/>
  <c r="E69" i="13"/>
  <c r="I27" i="13"/>
  <c r="N27" i="13" s="1"/>
  <c r="J41" i="13"/>
  <c r="K41" i="13" s="1"/>
  <c r="J47" i="13"/>
  <c r="J29" i="13" s="1"/>
  <c r="J59" i="13"/>
  <c r="K59" i="13" s="1"/>
  <c r="N63" i="13"/>
  <c r="J66" i="13"/>
  <c r="I72" i="13"/>
  <c r="J84" i="13"/>
  <c r="J98" i="13"/>
  <c r="J73" i="13" s="1"/>
  <c r="J101" i="13"/>
  <c r="I111" i="13"/>
  <c r="I94" i="13"/>
  <c r="E81" i="14" l="1"/>
  <c r="N79" i="14"/>
  <c r="N78" i="14"/>
  <c r="N28" i="14"/>
  <c r="N31" i="13"/>
  <c r="K33" i="14"/>
  <c r="N24" i="13"/>
  <c r="N36" i="14"/>
  <c r="J75" i="14"/>
  <c r="N94" i="13"/>
  <c r="L81" i="13"/>
  <c r="N79" i="13"/>
  <c r="N74" i="13"/>
  <c r="J75" i="13"/>
  <c r="N35" i="14"/>
  <c r="N29" i="14"/>
  <c r="N23" i="14"/>
  <c r="I22" i="14"/>
  <c r="K102" i="14"/>
  <c r="K76" i="14" s="1"/>
  <c r="N106" i="13"/>
  <c r="N26" i="14"/>
  <c r="J30" i="13"/>
  <c r="N73" i="14"/>
  <c r="N28" i="13"/>
  <c r="J28" i="13"/>
  <c r="N23" i="13"/>
  <c r="J73" i="14"/>
  <c r="J30" i="14"/>
  <c r="N39" i="14"/>
  <c r="J57" i="14"/>
  <c r="J69" i="14" s="1"/>
  <c r="N27" i="14"/>
  <c r="N30" i="14"/>
  <c r="L81" i="14"/>
  <c r="K35" i="14"/>
  <c r="N57" i="13"/>
  <c r="N31" i="14"/>
  <c r="N33" i="14"/>
  <c r="L37" i="13"/>
  <c r="L115" i="13" s="1"/>
  <c r="M22" i="13"/>
  <c r="M37" i="13" s="1"/>
  <c r="M115" i="13" s="1"/>
  <c r="J74" i="13"/>
  <c r="J32" i="14"/>
  <c r="J26" i="14"/>
  <c r="L37" i="14"/>
  <c r="L116" i="14" s="1"/>
  <c r="N111" i="13"/>
  <c r="J72" i="13"/>
  <c r="N111" i="14"/>
  <c r="C21" i="2"/>
  <c r="K89" i="14"/>
  <c r="K78" i="14" s="1"/>
  <c r="J78" i="14"/>
  <c r="N78" i="13"/>
  <c r="N73" i="13"/>
  <c r="M69" i="13"/>
  <c r="N69" i="13" s="1"/>
  <c r="I81" i="13"/>
  <c r="J32" i="13"/>
  <c r="I22" i="13"/>
  <c r="N22" i="13" s="1"/>
  <c r="K47" i="14"/>
  <c r="K29" i="14" s="1"/>
  <c r="K89" i="13"/>
  <c r="K78" i="13" s="1"/>
  <c r="K60" i="13"/>
  <c r="K26" i="13" s="1"/>
  <c r="J26" i="13"/>
  <c r="N94" i="14"/>
  <c r="F81" i="14"/>
  <c r="F116" i="14" s="1"/>
  <c r="K31" i="14"/>
  <c r="N106" i="14"/>
  <c r="K63" i="14"/>
  <c r="K30" i="14" s="1"/>
  <c r="J79" i="14"/>
  <c r="J28" i="14"/>
  <c r="N57" i="14"/>
  <c r="N74" i="14"/>
  <c r="J27" i="14"/>
  <c r="K98" i="14"/>
  <c r="K73" i="14" s="1"/>
  <c r="N69" i="14"/>
  <c r="K26" i="14"/>
  <c r="I81" i="14"/>
  <c r="E116" i="14"/>
  <c r="K72" i="14"/>
  <c r="J94" i="14"/>
  <c r="J80" i="14" s="1"/>
  <c r="K83" i="14"/>
  <c r="J71" i="14"/>
  <c r="J23" i="14"/>
  <c r="J39" i="14"/>
  <c r="K40" i="14"/>
  <c r="K66" i="14"/>
  <c r="K32" i="14" s="1"/>
  <c r="K79" i="14"/>
  <c r="M22" i="14"/>
  <c r="M37" i="14" s="1"/>
  <c r="M116" i="14" s="1"/>
  <c r="M55" i="14"/>
  <c r="N55" i="14" s="1"/>
  <c r="K27" i="14"/>
  <c r="K50" i="14"/>
  <c r="K28" i="14" s="1"/>
  <c r="J74" i="14"/>
  <c r="K59" i="14"/>
  <c r="K101" i="14"/>
  <c r="K75" i="14" s="1"/>
  <c r="K86" i="14"/>
  <c r="K74" i="14" s="1"/>
  <c r="J24" i="14"/>
  <c r="J106" i="14"/>
  <c r="M81" i="14"/>
  <c r="N72" i="14"/>
  <c r="J72" i="14"/>
  <c r="K41" i="14"/>
  <c r="I37" i="14"/>
  <c r="K27" i="13"/>
  <c r="J94" i="13"/>
  <c r="J80" i="13" s="1"/>
  <c r="K86" i="13"/>
  <c r="K74" i="13" s="1"/>
  <c r="K50" i="13"/>
  <c r="K28" i="13" s="1"/>
  <c r="K83" i="13"/>
  <c r="K47" i="13"/>
  <c r="K29" i="13" s="1"/>
  <c r="K103" i="13"/>
  <c r="K79" i="13" s="1"/>
  <c r="K24" i="13"/>
  <c r="K98" i="13"/>
  <c r="K73" i="13" s="1"/>
  <c r="K84" i="13"/>
  <c r="K72" i="13" s="1"/>
  <c r="J39" i="13"/>
  <c r="J23" i="13"/>
  <c r="K66" i="13"/>
  <c r="K32" i="13" s="1"/>
  <c r="J106" i="13"/>
  <c r="J27" i="13"/>
  <c r="J57" i="13"/>
  <c r="I55" i="13"/>
  <c r="N39" i="13"/>
  <c r="M81" i="13"/>
  <c r="N81" i="13" s="1"/>
  <c r="N72" i="13"/>
  <c r="J24" i="13"/>
  <c r="K63" i="13"/>
  <c r="K30" i="13" s="1"/>
  <c r="E81" i="13"/>
  <c r="F72" i="13"/>
  <c r="F81" i="13" s="1"/>
  <c r="K40" i="13"/>
  <c r="K101" i="13"/>
  <c r="J81" i="13" l="1"/>
  <c r="I37" i="13"/>
  <c r="I115" i="13" s="1"/>
  <c r="N115" i="13" s="1"/>
  <c r="K57" i="14"/>
  <c r="K69" i="14" s="1"/>
  <c r="K106" i="13"/>
  <c r="N81" i="14"/>
  <c r="J81" i="14"/>
  <c r="K94" i="14"/>
  <c r="K80" i="14" s="1"/>
  <c r="K71" i="14"/>
  <c r="K23" i="14"/>
  <c r="K39" i="14"/>
  <c r="K106" i="14"/>
  <c r="N22" i="14"/>
  <c r="J55" i="14"/>
  <c r="K55" i="14" s="1"/>
  <c r="J22" i="14"/>
  <c r="J37" i="14" s="1"/>
  <c r="J116" i="14" s="1"/>
  <c r="N37" i="14"/>
  <c r="I116" i="14"/>
  <c r="N116" i="14" s="1"/>
  <c r="K24" i="14"/>
  <c r="K71" i="13"/>
  <c r="K94" i="13"/>
  <c r="K80" i="13" s="1"/>
  <c r="K75" i="13"/>
  <c r="J69" i="13"/>
  <c r="K57" i="13"/>
  <c r="K69" i="13" s="1"/>
  <c r="J55" i="13"/>
  <c r="K55" i="13" s="1"/>
  <c r="J22" i="13"/>
  <c r="J37" i="13" s="1"/>
  <c r="J115" i="13" s="1"/>
  <c r="K23" i="13"/>
  <c r="K39" i="13"/>
  <c r="N55" i="13"/>
  <c r="N37" i="13" l="1"/>
  <c r="K81" i="13"/>
  <c r="K22" i="14"/>
  <c r="K37" i="14" s="1"/>
  <c r="K116" i="14" s="1"/>
  <c r="K81" i="14"/>
  <c r="K22" i="13"/>
  <c r="K37" i="13" s="1"/>
  <c r="K115" i="13" s="1"/>
  <c r="G135" i="11" l="1"/>
  <c r="G133" i="11"/>
  <c r="G131" i="11"/>
  <c r="F135" i="11" l="1"/>
  <c r="F133" i="11"/>
  <c r="F132" i="11"/>
  <c r="F131" i="11"/>
  <c r="C46" i="12" l="1"/>
  <c r="C47" i="12"/>
  <c r="C48" i="12"/>
  <c r="C49" i="12"/>
  <c r="C50" i="12"/>
  <c r="C51" i="12"/>
  <c r="C52" i="12"/>
  <c r="C53" i="12"/>
  <c r="C45" i="12"/>
  <c r="G21" i="2" l="1"/>
  <c r="F21" i="2"/>
  <c r="E21" i="2"/>
  <c r="D21" i="2"/>
  <c r="H131" i="11"/>
  <c r="C23" i="2" l="1"/>
  <c r="D32" i="3"/>
  <c r="D46" i="12" l="1"/>
  <c r="D47" i="12"/>
  <c r="D48" i="12"/>
  <c r="D49" i="12"/>
  <c r="D50" i="12"/>
  <c r="D51" i="12"/>
  <c r="D52" i="12"/>
  <c r="D53" i="12"/>
  <c r="D45" i="12"/>
  <c r="D3" i="12"/>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2" i="12"/>
  <c r="D105" i="13" l="1"/>
  <c r="D66" i="13"/>
  <c r="G46" i="13"/>
  <c r="G34" i="13" s="1"/>
  <c r="D42" i="13"/>
  <c r="D25" i="13" s="1"/>
  <c r="G92" i="13"/>
  <c r="D54" i="13"/>
  <c r="D110" i="13"/>
  <c r="D104" i="13"/>
  <c r="D108" i="13"/>
  <c r="D62" i="13"/>
  <c r="D53" i="13"/>
  <c r="G103" i="13"/>
  <c r="D46" i="13"/>
  <c r="D90" i="13"/>
  <c r="D51" i="13"/>
  <c r="G104" i="13"/>
  <c r="D103" i="13"/>
  <c r="D93" i="13"/>
  <c r="D92" i="13"/>
  <c r="D68" i="13"/>
  <c r="G91" i="13"/>
  <c r="D43" i="13"/>
  <c r="D91" i="13"/>
  <c r="G93" i="13"/>
  <c r="D100" i="13"/>
  <c r="H135" i="11"/>
  <c r="H133" i="11"/>
  <c r="G132" i="11"/>
  <c r="H132" i="11"/>
  <c r="H92" i="13" l="1"/>
  <c r="H104" i="13"/>
  <c r="D32" i="13"/>
  <c r="H93" i="13"/>
  <c r="G108" i="13"/>
  <c r="G100" i="13"/>
  <c r="H100" i="13" s="1"/>
  <c r="H103" i="13"/>
  <c r="G79" i="13"/>
  <c r="H91" i="13"/>
  <c r="D79" i="13"/>
  <c r="H46" i="13"/>
  <c r="H34" i="13" s="1"/>
  <c r="D34" i="13"/>
  <c r="H79" i="13" l="1"/>
  <c r="H108" i="13"/>
  <c r="E34" i="7" l="1"/>
  <c r="E24" i="7"/>
  <c r="G32" i="3" l="1"/>
  <c r="D34" i="8" l="1"/>
  <c r="F32" i="3" l="1"/>
  <c r="Q14" i="4"/>
  <c r="Q13" i="4"/>
  <c r="Q15" i="4"/>
  <c r="Q16" i="4"/>
  <c r="B15" i="7" l="1"/>
  <c r="B30" i="2"/>
  <c r="D21" i="3" l="1"/>
  <c r="E18" i="7" l="1"/>
  <c r="P12" i="4" l="1"/>
  <c r="F34" i="3"/>
  <c r="F33" i="3"/>
  <c r="F31" i="3"/>
  <c r="C26" i="2"/>
  <c r="F35" i="3" l="1"/>
  <c r="G26" i="3" l="1"/>
  <c r="E35" i="3"/>
  <c r="E27" i="8"/>
  <c r="E30" i="8"/>
  <c r="E29" i="8"/>
  <c r="E28" i="8"/>
  <c r="D36" i="8" l="1"/>
  <c r="L21" i="4" l="1"/>
  <c r="E23" i="7" l="1"/>
  <c r="O16" i="4" l="1"/>
  <c r="F28" i="3"/>
  <c r="E26" i="7" l="1"/>
  <c r="E35" i="7" s="1"/>
  <c r="E27" i="7" l="1"/>
  <c r="N16" i="4" l="1"/>
  <c r="N15" i="4"/>
  <c r="N14" i="4"/>
  <c r="N13" i="4"/>
  <c r="M13" i="4" l="1"/>
  <c r="M15" i="4" l="1"/>
  <c r="D31" i="8" l="1"/>
  <c r="F25" i="8"/>
  <c r="D25" i="8"/>
  <c r="C25" i="8"/>
  <c r="E24" i="8"/>
  <c r="G24" i="8" s="1"/>
  <c r="G23" i="8"/>
  <c r="E23" i="8"/>
  <c r="E22" i="8"/>
  <c r="G22" i="8" s="1"/>
  <c r="F21" i="8"/>
  <c r="D21" i="8"/>
  <c r="C21" i="8"/>
  <c r="E21" i="8" s="1"/>
  <c r="G21" i="8" s="1"/>
  <c r="E20" i="8"/>
  <c r="G20" i="8" s="1"/>
  <c r="E19" i="8"/>
  <c r="G19" i="8" s="1"/>
  <c r="E18" i="8"/>
  <c r="G18" i="8" s="1"/>
  <c r="F17" i="8"/>
  <c r="D17" i="8"/>
  <c r="C17" i="8"/>
  <c r="E16" i="8"/>
  <c r="G16" i="8" s="1"/>
  <c r="G15" i="8"/>
  <c r="E15" i="8"/>
  <c r="G14" i="8"/>
  <c r="E14" i="8"/>
  <c r="M18" i="4"/>
  <c r="L18" i="4"/>
  <c r="M16" i="4"/>
  <c r="L16" i="4"/>
  <c r="K16" i="4"/>
  <c r="J16" i="4"/>
  <c r="I16" i="4"/>
  <c r="H16" i="4"/>
  <c r="G16" i="4"/>
  <c r="F16" i="4"/>
  <c r="E16" i="4"/>
  <c r="D16" i="4"/>
  <c r="L15" i="4"/>
  <c r="K15" i="4"/>
  <c r="J15" i="4"/>
  <c r="I15" i="4"/>
  <c r="H15" i="4"/>
  <c r="G15" i="4"/>
  <c r="F15" i="4"/>
  <c r="E15" i="4"/>
  <c r="D15" i="4"/>
  <c r="M14" i="4"/>
  <c r="L14" i="4"/>
  <c r="K14" i="4"/>
  <c r="J14" i="4"/>
  <c r="I14" i="4"/>
  <c r="H14" i="4"/>
  <c r="G14" i="4"/>
  <c r="F14" i="4"/>
  <c r="E14" i="4"/>
  <c r="D14" i="4"/>
  <c r="L13" i="4"/>
  <c r="K13" i="4"/>
  <c r="J13" i="4"/>
  <c r="I13" i="4"/>
  <c r="H13" i="4"/>
  <c r="G13" i="4"/>
  <c r="F13" i="4"/>
  <c r="E13" i="4"/>
  <c r="D13" i="4"/>
  <c r="E30" i="3"/>
  <c r="F29" i="3"/>
  <c r="F27" i="3"/>
  <c r="F26" i="3"/>
  <c r="E25" i="3"/>
  <c r="D25" i="3"/>
  <c r="F24" i="3"/>
  <c r="G24" i="3" s="1"/>
  <c r="F23" i="3"/>
  <c r="G23" i="3" s="1"/>
  <c r="F22" i="3"/>
  <c r="G22" i="3" s="1"/>
  <c r="E21" i="3"/>
  <c r="G20" i="3"/>
  <c r="G19" i="3"/>
  <c r="F19" i="3"/>
  <c r="F18" i="3"/>
  <c r="G18" i="3" s="1"/>
  <c r="E17" i="3"/>
  <c r="D17" i="3"/>
  <c r="F16" i="3"/>
  <c r="G16" i="3" s="1"/>
  <c r="F15" i="3"/>
  <c r="G15" i="3" s="1"/>
  <c r="G14" i="3"/>
  <c r="F14" i="3"/>
  <c r="G21" i="3" l="1"/>
  <c r="E37" i="7"/>
  <c r="E17" i="8"/>
  <c r="G17" i="8" s="1"/>
  <c r="E25" i="8"/>
  <c r="G25" i="8" s="1"/>
  <c r="G17" i="3"/>
  <c r="F21" i="3"/>
  <c r="F17" i="3"/>
  <c r="F30" i="3"/>
  <c r="F25" i="3"/>
  <c r="G25" i="3" s="1"/>
  <c r="P13" i="4" l="1"/>
  <c r="G29" i="3"/>
  <c r="G28" i="3"/>
  <c r="O15" i="4"/>
  <c r="O14" i="4"/>
  <c r="O13" i="4"/>
  <c r="P15" i="4" l="1"/>
  <c r="P14" i="4"/>
  <c r="P16" i="4"/>
  <c r="G27" i="3"/>
  <c r="D30" i="3"/>
  <c r="G30" i="3" s="1"/>
  <c r="E35" i="8" l="1"/>
  <c r="C31" i="8" l="1"/>
  <c r="E31" i="8" s="1"/>
  <c r="C19" i="2" l="1"/>
  <c r="G31" i="3" l="1"/>
  <c r="E33" i="8" l="1"/>
  <c r="E32" i="8"/>
  <c r="C27" i="2" l="1"/>
  <c r="C32" i="2" l="1"/>
  <c r="E32" i="2" s="1"/>
  <c r="C34" i="8" l="1"/>
  <c r="E34" i="8" s="1"/>
  <c r="C36" i="8" l="1"/>
  <c r="E36" i="8" s="1"/>
  <c r="F17" i="12" l="1"/>
  <c r="F8" i="12"/>
  <c r="F37" i="12"/>
  <c r="F33" i="12"/>
  <c r="F35" i="12"/>
  <c r="E37" i="12"/>
  <c r="E36" i="12"/>
  <c r="E3" i="12"/>
  <c r="E26" i="12"/>
  <c r="E6" i="12"/>
  <c r="E8" i="12"/>
  <c r="E18" i="12"/>
  <c r="E7" i="12"/>
  <c r="E25" i="12"/>
  <c r="E2" i="12"/>
  <c r="E9" i="12"/>
  <c r="E35" i="12"/>
  <c r="E39" i="12"/>
  <c r="F23" i="12"/>
  <c r="E42" i="12"/>
  <c r="E17" i="12"/>
  <c r="E24" i="12"/>
  <c r="E56" i="12" s="1"/>
  <c r="F9" i="12"/>
  <c r="F38" i="12"/>
  <c r="F21" i="12"/>
  <c r="F24" i="12"/>
  <c r="F19" i="12"/>
  <c r="F2" i="12"/>
  <c r="E29" i="12"/>
  <c r="E20" i="12"/>
  <c r="E31" i="12"/>
  <c r="E33" i="12"/>
  <c r="E10" i="12"/>
  <c r="E13" i="12"/>
  <c r="E15" i="12"/>
  <c r="E5" i="12"/>
  <c r="E28" i="12"/>
  <c r="E27" i="12"/>
  <c r="F6" i="12"/>
  <c r="F7" i="12"/>
  <c r="F29" i="12"/>
  <c r="F13" i="12"/>
  <c r="F15" i="12"/>
  <c r="F11" i="12"/>
  <c r="E21" i="12"/>
  <c r="E4" i="12"/>
  <c r="E41" i="12"/>
  <c r="F25" i="12"/>
  <c r="F5" i="12"/>
  <c r="F36" i="12"/>
  <c r="F27" i="12"/>
  <c r="F42" i="12"/>
  <c r="E22" i="12"/>
  <c r="E40" i="12"/>
  <c r="E12" i="12"/>
  <c r="F12" i="12"/>
  <c r="F31" i="12"/>
  <c r="F40" i="12"/>
  <c r="F28" i="12"/>
  <c r="F3" i="12"/>
  <c r="F34" i="12"/>
  <c r="E30" i="12"/>
  <c r="F39" i="12"/>
  <c r="E23" i="12"/>
  <c r="F14" i="12"/>
  <c r="F16" i="12"/>
  <c r="F20" i="12"/>
  <c r="F41" i="12"/>
  <c r="F26" i="12"/>
  <c r="E32" i="12"/>
  <c r="F18" i="12"/>
  <c r="E19" i="12"/>
  <c r="F32" i="12"/>
  <c r="F22" i="12"/>
  <c r="F4" i="12"/>
  <c r="F30" i="12"/>
  <c r="F10" i="12"/>
  <c r="E14" i="12"/>
  <c r="E11" i="12"/>
  <c r="E34" i="12"/>
  <c r="E58" i="12" s="1"/>
  <c r="E38" i="12"/>
  <c r="E16" i="12"/>
  <c r="F57" i="12" l="1"/>
  <c r="F58" i="12"/>
  <c r="H100" i="14"/>
  <c r="F55" i="12"/>
  <c r="D60" i="13"/>
  <c r="G41" i="13"/>
  <c r="G98" i="13"/>
  <c r="G113" i="13"/>
  <c r="G89" i="13"/>
  <c r="D45" i="13"/>
  <c r="D64" i="13"/>
  <c r="D84" i="13"/>
  <c r="G67" i="13"/>
  <c r="G58" i="13"/>
  <c r="D96" i="13"/>
  <c r="D49" i="13"/>
  <c r="G40" i="13"/>
  <c r="G50" i="13"/>
  <c r="E55" i="12"/>
  <c r="G44" i="13"/>
  <c r="G87" i="13"/>
  <c r="G114" i="13"/>
  <c r="G101" i="13"/>
  <c r="G97" i="13"/>
  <c r="G59" i="13"/>
  <c r="D67" i="13"/>
  <c r="D98" i="13"/>
  <c r="G111" i="14"/>
  <c r="G109" i="13"/>
  <c r="H108" i="14"/>
  <c r="G102" i="13"/>
  <c r="G88" i="13"/>
  <c r="G48" i="13"/>
  <c r="G64" i="13"/>
  <c r="D85" i="13"/>
  <c r="D74" i="14"/>
  <c r="D86" i="13"/>
  <c r="D74" i="13" s="1"/>
  <c r="D58" i="13"/>
  <c r="D57" i="13" s="1"/>
  <c r="D59" i="13"/>
  <c r="H60" i="14"/>
  <c r="G60" i="13"/>
  <c r="H60" i="13" s="1"/>
  <c r="D40" i="13"/>
  <c r="G83" i="13"/>
  <c r="G63" i="13"/>
  <c r="D63" i="13"/>
  <c r="G45" i="13"/>
  <c r="G99" i="13"/>
  <c r="D83" i="13"/>
  <c r="D26" i="14"/>
  <c r="D44" i="13"/>
  <c r="D26" i="13" s="1"/>
  <c r="D114" i="13"/>
  <c r="D76" i="14"/>
  <c r="D102" i="13"/>
  <c r="D76" i="13" s="1"/>
  <c r="D87" i="13"/>
  <c r="D65" i="13"/>
  <c r="G65" i="13"/>
  <c r="D113" i="13"/>
  <c r="D78" i="14"/>
  <c r="D89" i="13"/>
  <c r="D78" i="13" s="1"/>
  <c r="G52" i="13"/>
  <c r="D97" i="13"/>
  <c r="D41" i="13"/>
  <c r="D24" i="13" s="1"/>
  <c r="G47" i="13"/>
  <c r="D111" i="14"/>
  <c r="D109" i="13"/>
  <c r="D111" i="13" s="1"/>
  <c r="D29" i="14"/>
  <c r="D47" i="13"/>
  <c r="D29" i="13" s="1"/>
  <c r="D99" i="13"/>
  <c r="D61" i="13"/>
  <c r="G61" i="13"/>
  <c r="F56" i="12"/>
  <c r="E57" i="12"/>
  <c r="G49" i="13"/>
  <c r="D52" i="13"/>
  <c r="D33" i="13" s="1"/>
  <c r="G84" i="13"/>
  <c r="H84" i="13" s="1"/>
  <c r="D50" i="13"/>
  <c r="D77" i="14"/>
  <c r="D88" i="13"/>
  <c r="D77" i="13" s="1"/>
  <c r="G85" i="13"/>
  <c r="D48" i="13"/>
  <c r="D30" i="13" l="1"/>
  <c r="H61" i="13"/>
  <c r="D94" i="14"/>
  <c r="H85" i="13"/>
  <c r="D28" i="13"/>
  <c r="H64" i="14"/>
  <c r="D69" i="13"/>
  <c r="H61" i="14"/>
  <c r="D24" i="14"/>
  <c r="D57" i="14"/>
  <c r="D69" i="14" s="1"/>
  <c r="H65" i="13"/>
  <c r="H115" i="14"/>
  <c r="H67" i="13"/>
  <c r="H63" i="13"/>
  <c r="H64" i="13"/>
  <c r="D31" i="13"/>
  <c r="D31" i="14"/>
  <c r="H111" i="14"/>
  <c r="H84" i="14"/>
  <c r="D33" i="14"/>
  <c r="G29" i="14"/>
  <c r="H29" i="14" s="1"/>
  <c r="H47" i="14"/>
  <c r="D71" i="14"/>
  <c r="D80" i="14"/>
  <c r="H63" i="14"/>
  <c r="H59" i="14"/>
  <c r="H87" i="14"/>
  <c r="G75" i="14"/>
  <c r="H114" i="14"/>
  <c r="H99" i="13"/>
  <c r="G71" i="13"/>
  <c r="H83" i="13"/>
  <c r="H48" i="13"/>
  <c r="G30" i="13"/>
  <c r="H30" i="13" s="1"/>
  <c r="H109" i="13"/>
  <c r="G111" i="13"/>
  <c r="H97" i="14"/>
  <c r="H44" i="13"/>
  <c r="G26" i="13"/>
  <c r="H26" i="13" s="1"/>
  <c r="D72" i="14"/>
  <c r="H113" i="13"/>
  <c r="H99" i="14"/>
  <c r="G71" i="14"/>
  <c r="H83" i="14"/>
  <c r="H48" i="14"/>
  <c r="G30" i="14"/>
  <c r="H109" i="14"/>
  <c r="H97" i="13"/>
  <c r="H44" i="14"/>
  <c r="G26" i="14"/>
  <c r="H26" i="14" s="1"/>
  <c r="D72" i="13"/>
  <c r="H98" i="13"/>
  <c r="G73" i="13"/>
  <c r="H49" i="13"/>
  <c r="G31" i="13"/>
  <c r="H31" i="13" s="1"/>
  <c r="G106" i="14"/>
  <c r="G96" i="13"/>
  <c r="H45" i="13"/>
  <c r="G27" i="13"/>
  <c r="D39" i="13"/>
  <c r="D23" i="13"/>
  <c r="G77" i="14"/>
  <c r="H77" i="14" s="1"/>
  <c r="H88" i="14"/>
  <c r="D73" i="13"/>
  <c r="G86" i="13"/>
  <c r="G94" i="13" s="1"/>
  <c r="G73" i="14"/>
  <c r="H98" i="14"/>
  <c r="H49" i="14"/>
  <c r="G31" i="14"/>
  <c r="H31" i="14" s="1"/>
  <c r="D28" i="14"/>
  <c r="D75" i="14"/>
  <c r="D101" i="13"/>
  <c r="D75" i="13" s="1"/>
  <c r="H65" i="14"/>
  <c r="H45" i="14"/>
  <c r="G27" i="14"/>
  <c r="D39" i="14"/>
  <c r="D23" i="14"/>
  <c r="G77" i="13"/>
  <c r="H77" i="13" s="1"/>
  <c r="H88" i="13"/>
  <c r="D73" i="14"/>
  <c r="H50" i="13"/>
  <c r="G28" i="13"/>
  <c r="H28" i="13" s="1"/>
  <c r="G57" i="13"/>
  <c r="H58" i="13"/>
  <c r="D27" i="13"/>
  <c r="H41" i="13"/>
  <c r="G24" i="13"/>
  <c r="H24" i="13" s="1"/>
  <c r="D30" i="14"/>
  <c r="G33" i="13"/>
  <c r="H33" i="13" s="1"/>
  <c r="H52" i="13"/>
  <c r="G76" i="13"/>
  <c r="H76" i="13" s="1"/>
  <c r="H102" i="13"/>
  <c r="H114" i="13"/>
  <c r="G28" i="14"/>
  <c r="H50" i="14"/>
  <c r="G57" i="14"/>
  <c r="H58" i="14"/>
  <c r="D27" i="14"/>
  <c r="G24" i="14"/>
  <c r="H24" i="14" s="1"/>
  <c r="H41" i="14"/>
  <c r="G78" i="13"/>
  <c r="H78" i="13" s="1"/>
  <c r="H89" i="13"/>
  <c r="G33" i="14"/>
  <c r="H33" i="14" s="1"/>
  <c r="H52" i="14"/>
  <c r="G76" i="14"/>
  <c r="H76" i="14" s="1"/>
  <c r="H102" i="14"/>
  <c r="H40" i="13"/>
  <c r="G23" i="13"/>
  <c r="G39" i="13"/>
  <c r="H85" i="14"/>
  <c r="G29" i="13"/>
  <c r="H29" i="13" s="1"/>
  <c r="H47" i="13"/>
  <c r="D71" i="13"/>
  <c r="D94" i="13"/>
  <c r="D80" i="13" s="1"/>
  <c r="H59" i="13"/>
  <c r="H87" i="13"/>
  <c r="G75" i="13"/>
  <c r="G39" i="14"/>
  <c r="H40" i="14"/>
  <c r="G23" i="14"/>
  <c r="H67" i="14"/>
  <c r="G78" i="14"/>
  <c r="H78" i="14" s="1"/>
  <c r="H89" i="14"/>
  <c r="H28" i="14" l="1"/>
  <c r="H23" i="14"/>
  <c r="D106" i="14"/>
  <c r="H94" i="13"/>
  <c r="D81" i="14"/>
  <c r="D81" i="13"/>
  <c r="H101" i="13"/>
  <c r="H75" i="13"/>
  <c r="H23" i="13"/>
  <c r="G74" i="14"/>
  <c r="H74" i="14" s="1"/>
  <c r="H86" i="14"/>
  <c r="G94" i="14"/>
  <c r="H94" i="14" s="1"/>
  <c r="G72" i="13"/>
  <c r="H72" i="13" s="1"/>
  <c r="H96" i="13"/>
  <c r="G106" i="13"/>
  <c r="H111" i="13"/>
  <c r="H96" i="14"/>
  <c r="H71" i="14"/>
  <c r="H75" i="14"/>
  <c r="G55" i="13"/>
  <c r="H39" i="13"/>
  <c r="G22" i="13"/>
  <c r="H57" i="13"/>
  <c r="G69" i="13"/>
  <c r="H69" i="13" s="1"/>
  <c r="D22" i="14"/>
  <c r="D37" i="14" s="1"/>
  <c r="D55" i="14"/>
  <c r="G72" i="14"/>
  <c r="H72" i="14" s="1"/>
  <c r="H27" i="14"/>
  <c r="G69" i="14"/>
  <c r="H69" i="14" s="1"/>
  <c r="H57" i="14"/>
  <c r="H73" i="14"/>
  <c r="H73" i="13"/>
  <c r="H30" i="14"/>
  <c r="H101" i="14"/>
  <c r="D55" i="13"/>
  <c r="D22" i="13"/>
  <c r="D37" i="13" s="1"/>
  <c r="D115" i="13" s="1"/>
  <c r="G22" i="14"/>
  <c r="G37" i="14" s="1"/>
  <c r="G55" i="14"/>
  <c r="H39" i="14"/>
  <c r="G74" i="13"/>
  <c r="H74" i="13" s="1"/>
  <c r="H86" i="13"/>
  <c r="H27" i="13"/>
  <c r="D106" i="13"/>
  <c r="H71" i="13"/>
  <c r="D116" i="14" l="1"/>
  <c r="D33" i="3" s="1"/>
  <c r="H106" i="13"/>
  <c r="G81" i="14"/>
  <c r="G116" i="14" s="1"/>
  <c r="H55" i="13"/>
  <c r="H106" i="14"/>
  <c r="H55" i="14"/>
  <c r="G81" i="13"/>
  <c r="H37" i="14"/>
  <c r="H22" i="14"/>
  <c r="G37" i="13"/>
  <c r="H37" i="13" s="1"/>
  <c r="H22" i="13"/>
  <c r="E28" i="7" l="1"/>
  <c r="E29" i="7"/>
  <c r="E36" i="7"/>
  <c r="E38" i="7" s="1"/>
  <c r="E39" i="7" s="1"/>
  <c r="E30" i="7"/>
  <c r="G33" i="3"/>
  <c r="S12" i="4"/>
  <c r="D35" i="3"/>
  <c r="G35" i="3" s="1"/>
  <c r="H81" i="13"/>
  <c r="G115" i="13"/>
  <c r="H115" i="13" s="1"/>
  <c r="H81" i="14"/>
  <c r="H116" i="14"/>
  <c r="S14" i="4" l="1"/>
  <c r="S13" i="4"/>
  <c r="S15" i="4"/>
  <c r="S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tc={0BA72054-2FB1-4855-B3C1-53F849272D68}</author>
    <author>tc={E126F974-CC80-4A3C-8FDB-6FCBA73C1045}</author>
    <author>tc={8A233EE7-7EB8-4FDF-97BC-E3CD7C730792}</author>
    <author>tc={175E2C08-8401-4283-96C8-18A936FEA765}</author>
    <author>tc={4CFFACAC-6AA1-48FF-8D93-6C4CCBB92EB8}</author>
    <author>tc={230A8F3A-BC75-4C5F-A96F-912C9AE6097F}</author>
    <author>tc={B2BD7A82-8ABB-4F66-AC22-A29F42CDDB5D}</author>
    <author>tc={ED3799F7-C80B-48DA-9881-A5D1D2617265}</author>
    <author>tc={7F9D2711-3226-4142-939F-731E50FA64E9}</author>
  </authors>
  <commentList>
    <comment ref="C19" authorId="0" shapeId="0" xr:uid="{0BA72054-2FB1-4855-B3C1-53F849272D68}">
      <text>
        <t xml:space="preserve">[Threaded comment]
Your version of Excel allows you to read this threaded comment; however, any edits to it will get removed if the file is opened in a newer version of Excel. Learn more: https://go.microsoft.com/fwlink/?linkid=870924
Comment:
    FYI - changing this here changes all other tab headers
</t>
      </text>
    </comment>
    <comment ref="C43" authorId="1" shapeId="0" xr:uid="{E126F974-CC80-4A3C-8FDB-6FCBA73C1045}">
      <text>
        <t>[Threaded comment]
Your version of Excel allows you to read this threaded comment; however, any edits to it will get removed if the file is opened in a newer version of Excel. Learn more: https://go.microsoft.com/fwlink/?linkid=870924
Comment:
    Can hide row</t>
      </text>
    </comment>
    <comment ref="C62" authorId="2" shapeId="0" xr:uid="{8A233EE7-7EB8-4FDF-97BC-E3CD7C730792}">
      <text>
        <t>[Threaded comment]
Your version of Excel allows you to read this threaded comment; however, any edits to it will get removed if the file is opened in a newer version of Excel. Learn more: https://go.microsoft.com/fwlink/?linkid=870924
Comment:
    Can hide</t>
      </text>
    </comment>
    <comment ref="C83" authorId="3" shapeId="0" xr:uid="{175E2C08-8401-4283-96C8-18A936FEA765}">
      <text>
        <t>[Threaded comment]
Your version of Excel allows you to read this threaded comment; however, any edits to it will get removed if the file is opened in a newer version of Excel. Learn more: https://go.microsoft.com/fwlink/?linkid=870924
Comment:
    @Lee, Abbey Rose:(ComEd)  - check that the vlookup for HER is looking at the right enry in the LE - the LE file has 2 rows for it because it used to reside in R D2C - they have since blanked out the whole row in that section; Now its in Res Journey. Note that once you add this you will need to also update the Portfolio Total in the 2 - Costs tab</t>
      </text>
    </comment>
    <comment ref="E86" authorId="4" shapeId="0" xr:uid="{4CFFACAC-6AA1-48FF-8D93-6C4CCBB92EB8}">
      <text>
        <t>[Threaded comment]
Your version of Excel allows you to read this threaded comment; however, any edits to it will get removed if the file is opened in a newer version of Excel. Learn more: https://go.microsoft.com/fwlink/?linkid=870924
Comment:
    Was missing 6000 from RPP</t>
      </text>
    </comment>
    <comment ref="E114" authorId="5" shapeId="0" xr:uid="{230A8F3A-BC75-4C5F-A96F-912C9AE6097F}">
      <text>
        <t>[Threaded comment]
Your version of Excel allows you to read this threaded comment; however, any edits to it will get removed if the file is opened in a newer version of Excel. Learn more: https://go.microsoft.com/fwlink/?linkid=870924
Comment:
    The "other" savings item goes here (i.e. the nicor purchase agreement)</t>
      </text>
    </comment>
    <comment ref="E115" authorId="6" shapeId="0" xr:uid="{B2BD7A82-8ABB-4F66-AC22-A29F42CDDB5D}">
      <text>
        <t xml:space="preserve">[Threaded comment]
Your version of Excel allows you to read this threaded comment; however, any edits to it will get removed if the file is opened in a newer version of Excel. Learn more: https://go.microsoft.com/fwlink/?linkid=870924
Comment:
    Updated to the 2024 lighting carryover </t>
      </text>
    </comment>
    <comment ref="E117" authorId="7" shapeId="0" xr:uid="{ED3799F7-C80B-48DA-9881-A5D1D2617265}">
      <text>
        <t xml:space="preserve">[Threaded comment]
Your version of Excel allows you to read this threaded comment; however, any edits to it will get removed if the file is opened in a newer version of Excel. Learn more: https://go.microsoft.com/fwlink/?linkid=870924
Comment:
    We may need to review with Josh which EEE savings we shold proceed with (i.e. is he using the ajdusted EEE totals (with IE minimum applied) or proceedign with EEE totals
Reply:
    @Lee, Abbey Rose:(ComEd)  - now that we have the eval report drafts available, reach out to Elder to see which R&amp;D savings, carryover, and other (i.e. Nicor purchase) savings we are going forward with . </t>
      </text>
    </comment>
    <comment ref="G117" authorId="8" shapeId="0" xr:uid="{7F9D2711-3226-4142-939F-731E50FA64E9}">
      <text>
        <t xml:space="preserve">[Threaded comment]
Your version of Excel allows you to read this threaded comment; however, any edits to it will get removed if the file is opened in a newer version of Excel. Learn more: https://go.microsoft.com/fwlink/?linkid=870924
Comment:
    We may need to review with Josh which EEE savings we shold proceed with (i.e. is he using the ajdusted EEE totals (with IE minimum applied) or proceedign with EEE totals
Reply:
    @Lee, Abbey Rose:(ComEd)  - now that we have the eval report drafts available, reach out to Elder to see which R&amp;D savings, carryover, and other (i.e. Nicor purchase) savings we are going forward with .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tc={3A2D48B8-7A88-4157-92AB-84C4C0E25BEC}</author>
    <author>tc={4E3A03C5-EDF6-4159-8692-090CB07CECF7}</author>
    <author>tc={A51C3F01-8B58-4E88-8FF5-E6A118600227}</author>
    <author>tc={D94618FA-F6E4-4361-BE3A-B0A12F9862D3}</author>
    <author>tc={E4B98DA8-CE01-4891-9364-5BE33CEA7AA3}</author>
    <author>tc={DE32D089-4AF5-4F5A-A7A8-A9477532E601}</author>
    <author>tc={22482A0A-ED42-41E1-8A91-732A6E0A2A94}</author>
    <author>tc={DC444712-3CC7-4346-940C-93A488CA2209}</author>
    <author>tc={CB7BBFE8-8ADB-4A84-A730-6D3E403F3146}</author>
  </authors>
  <commentList>
    <comment ref="C19" authorId="0" shapeId="0" xr:uid="{3A2D48B8-7A88-4157-92AB-84C4C0E25BEC}">
      <text>
        <t xml:space="preserve">[Threaded comment]
Your version of Excel allows you to read this threaded comment; however, any edits to it will get removed if the file is opened in a newer version of Excel. Learn more: https://go.microsoft.com/fwlink/?linkid=870924
Comment:
    FYI - changing this here changes all other tab headers
</t>
      </text>
    </comment>
    <comment ref="C43" authorId="1" shapeId="0" xr:uid="{4E3A03C5-EDF6-4159-8692-090CB07CECF7}">
      <text>
        <t>[Threaded comment]
Your version of Excel allows you to read this threaded comment; however, any edits to it will get removed if the file is opened in a newer version of Excel. Learn more: https://go.microsoft.com/fwlink/?linkid=870924
Comment:
    Can hide row</t>
      </text>
    </comment>
    <comment ref="C62" authorId="2" shapeId="0" xr:uid="{A51C3F01-8B58-4E88-8FF5-E6A118600227}">
      <text>
        <t>[Threaded comment]
Your version of Excel allows you to read this threaded comment; however, any edits to it will get removed if the file is opened in a newer version of Excel. Learn more: https://go.microsoft.com/fwlink/?linkid=870924
Comment:
    Can hide</t>
      </text>
    </comment>
    <comment ref="E86" authorId="3" shapeId="0" xr:uid="{D94618FA-F6E4-4361-BE3A-B0A12F9862D3}">
      <text>
        <t>[Threaded comment]
Your version of Excel allows you to read this threaded comment; however, any edits to it will get removed if the file is opened in a newer version of Excel. Learn more: https://go.microsoft.com/fwlink/?linkid=870924
Comment:
    Was missing 6000 from RPP</t>
      </text>
    </comment>
    <comment ref="E91" authorId="4" shapeId="0" xr:uid="{E4B98DA8-CE01-4891-9364-5BE33CEA7AA3}">
      <text>
        <t>[Threaded comment]
Your version of Excel allows you to read this threaded comment; however, any edits to it will get removed if the file is opened in a newer version of Excel. Learn more: https://go.microsoft.com/fwlink/?linkid=870924
Comment:
    Added program - electrification component added this year</t>
      </text>
    </comment>
    <comment ref="E113" authorId="5" shapeId="0" xr:uid="{DE32D089-4AF5-4F5A-A7A8-A9477532E601}">
      <text>
        <t>[Threaded comment]
Your version of Excel allows you to read this threaded comment; however, any edits to it will get removed if the file is opened in a newer version of Excel. Learn more: https://go.microsoft.com/fwlink/?linkid=870924
Comment:
    The "other" savings item goes here (i.e. the nicor purchase agreement)</t>
      </text>
    </comment>
    <comment ref="E114" authorId="6" shapeId="0" xr:uid="{22482A0A-ED42-41E1-8A91-732A6E0A2A94}">
      <text>
        <t xml:space="preserve">[Threaded comment]
Your version of Excel allows you to read this threaded comment; however, any edits to it will get removed if the file is opened in a newer version of Excel. Learn more: https://go.microsoft.com/fwlink/?linkid=870924
Comment:
    Updated to the 2024 lighting carryover </t>
      </text>
    </comment>
    <comment ref="E116" authorId="7" shapeId="0" xr:uid="{DC444712-3CC7-4346-940C-93A488CA2209}">
      <text>
        <t xml:space="preserve">[Threaded comment]
Your version of Excel allows you to read this threaded comment; however, any edits to it will get removed if the file is opened in a newer version of Excel. Learn more: https://go.microsoft.com/fwlink/?linkid=870924
Comment:
    We may need to review with Josh which EEE savings we shold proceed with (i.e. is he using the ajdusted EEE totals (with IE minimum applied) or proceedign with EEE totals
Reply:
    @Lee, Abbey Rose:(ComEd)  - now that we have the eval report drafts available, reach out to Elder to see which R&amp;D savings, carryover, and other (i.e. Nicor purchase) savings we are going forward with . </t>
      </text>
    </comment>
    <comment ref="G116" authorId="8" shapeId="0" xr:uid="{CB7BBFE8-8ADB-4A84-A730-6D3E403F3146}">
      <text>
        <t xml:space="preserve">[Threaded comment]
Your version of Excel allows you to read this threaded comment; however, any edits to it will get removed if the file is opened in a newer version of Excel. Learn more: https://go.microsoft.com/fwlink/?linkid=870924
Comment:
    We may need to review with Josh which EEE savings we shold proceed with (i.e. is he using the ajdusted EEE totals (with IE minimum applied) or proceedign with EEE totals
Reply:
    @Lee, Abbey Rose:(ComEd)  - now that we have the eval report drafts available, reach out to Elder to see which R&amp;D savings, carryover, and other (i.e. Nicor purchase) savings we are going forward with .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tc={07CC0F76-3EA5-4563-BDDA-E548F26E5973}</author>
    <author>tc={82790DBB-CB26-4C58-99CD-99E8E375BDF5}</author>
  </authors>
  <commentList>
    <comment ref="F2" authorId="0" shapeId="0" xr:uid="{07CC0F76-3EA5-4563-BDDA-E548F26E5973}">
      <text>
        <t>[Threaded comment]
Your version of Excel allows you to read this threaded comment; however, any edits to it will get removed if the file is opened in a newer version of Excel. Learn more: https://go.microsoft.com/fwlink/?linkid=870924
Comment:
    @Lee, Abbey Rose:(ComEd) are these YTD representing the totals for programs in column D? otherwise, should the vlookup ref be changed to column I?
Reply:
    No, both column E and J are vlookups on the "9+3 Traditional Electric (MWh)' file in the supporting docs folder. The EEE data is referencing the '9+3 Net EEE Export' file for their vlookups.
Reply:
    I ask bc some #s don’t line up w/ the source file. So I cant track. I see small bus public in the source file is 14,902 YTD  but here it's 2,661 which is the YTD of the SF retrofit program per the source file?</t>
      </text>
    </comment>
    <comment ref="F57" authorId="1" shapeId="0" xr:uid="{82790DBB-CB26-4C58-99CD-99E8E375BDF5}">
      <text>
        <t>[Threaded comment]
Your version of Excel allows you to read this threaded comment; however, any edits to it will get removed if the file is opened in a newer version of Excel. Learn more: https://go.microsoft.com/fwlink/?linkid=870924
Comment:
    @Rodriguez, Ilse:(ComEd) Confirming this is the correct calculation for "Home Energy Savings – Income Eligible Retrofits" on page 5 of Quarterly report?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tc={A573B2F7-436B-4514-A0EB-1ABFCD77EDDC}</author>
    <author>tc={B85B9F4C-F78C-47A4-AC23-1AF9A4DD8B1D}</author>
    <author>tc={0DC79DF4-461F-49FC-B3BD-20A568BF98F4}</author>
    <author>tc={52694BCF-FDBC-400F-AC94-D047169789E7}</author>
  </authors>
  <commentList>
    <comment ref="C17" authorId="0" shapeId="0" xr:uid="{A573B2F7-436B-4514-A0EB-1ABFCD77EDDC}">
      <text>
        <t>[Threaded comment]
Your version of Excel allows you to read this threaded comment; however, any edits to it will get removed if the file is opened in a newer version of Excel. Learn more: https://go.microsoft.com/fwlink/?linkid=870924
Comment:
    Jordan Losiak - Market Transformation Programs in 2024 LE no more</t>
      </text>
    </comment>
    <comment ref="C24" authorId="1" shapeId="0" xr:uid="{B85B9F4C-F78C-47A4-AC23-1AF9A4DD8B1D}">
      <text>
        <t>[Threaded comment]
Your version of Excel allows you to read this threaded comment; however, any edits to it will get removed if the file is opened in a newer version of Excel. Learn more: https://go.microsoft.com/fwlink/?linkid=870924
Comment:
    Formula: LE Total Rider EEPP - C27</t>
      </text>
    </comment>
    <comment ref="C27" authorId="2" shapeId="0" xr:uid="{0DC79DF4-461F-49FC-B3BD-20A568BF98F4}">
      <text>
        <t>[Threaded comment]
Your version of Excel allows you to read this threaded comment; however, any edits to it will get removed if the file is opened in a newer version of Excel. Learn more: https://go.microsoft.com/fwlink/?linkid=870924
Comment:
    Not sure what's missing but we're not lining up w/ 266,240,011
Reply:
    Portfolio Administrative Costs wasn't updated. Now matches 266,240,011</t>
      </text>
    </comment>
    <comment ref="D32" authorId="3" shapeId="0" xr:uid="{52694BCF-FDBC-400F-AC94-D047169789E7}">
      <text>
        <t>[Threaded comment]
Your version of Excel allows you to read this threaded comment; however, any edits to it will get removed if the file is opened in a newer version of Excel. Learn more: https://go.microsoft.com/fwlink/?linkid=870924
Comment:
    Copied from LE xlsx (Total EE Regulatory GL)</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tc={2A5F32AD-F776-497D-B5B6-CA80921EB977}</author>
    <author>tc={0670CBFC-E885-488F-A239-620DD833B309}</author>
    <author>tc={B9C81819-60FD-4CA0-BC6A-B8A60B880484}</author>
    <author>tc={C478B1EE-C361-4687-BD84-219B98121CF7}</author>
  </authors>
  <commentList>
    <comment ref="D31" authorId="0" shapeId="0" xr:uid="{2A5F32AD-F776-497D-B5B6-CA80921EB977}">
      <text>
        <t>[Threaded comment]
Your version of Excel allows you to read this threaded comment; however, any edits to it will get removed if the file is opened in a newer version of Excel. Learn more: https://go.microsoft.com/fwlink/?linkid=870924
Comment:
    from SAG Annual EE Report (Evaluation Report)</t>
      </text>
    </comment>
    <comment ref="D32" authorId="1" shapeId="0" xr:uid="{0670CBFC-E885-488F-A239-620DD833B309}">
      <text>
        <t>[Threaded comment]
Your version of Excel allows you to read this threaded comment; however, any edits to it will get removed if the file is opened in a newer version of Excel. Learn more: https://go.microsoft.com/fwlink/?linkid=870924
Comment:
    Updated using final evaluation report (2_10 tab)</t>
      </text>
    </comment>
    <comment ref="E33" authorId="2" shapeId="0" xr:uid="{B9C81819-60FD-4CA0-BC6A-B8A60B880484}">
      <text>
        <t>[Threaded comment]
Your version of Excel allows you to read this threaded comment; however, any edits to it will get removed if the file is opened in a newer version of Excel. Learn more: https://go.microsoft.com/fwlink/?linkid=870924
Comment:
    LRP
Reply:
    Updated 4/19
Reply:
    Updated 10/21 to account for Therms cap change</t>
      </text>
    </comment>
    <comment ref="D34" authorId="3" shapeId="0" xr:uid="{C478B1EE-C361-4687-BD84-219B98121CF7}">
      <text>
        <t>[Threaded comment]
Your version of Excel allows you to read this threaded comment; however, any edits to it will get removed if the file is opened in a newer version of Excel. Learn more: https://go.microsoft.com/fwlink/?linkid=870924
Comment:
    planning team to review later</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tc={3CD22092-C215-4954-BC2D-A9EA71813340}</author>
  </authors>
  <commentList>
    <comment ref="S18" authorId="0" shapeId="0" xr:uid="{3CD22092-C215-4954-BC2D-A9EA71813340}">
      <text>
        <t xml:space="preserve">[Threaded comment]
Your version of Excel allows you to read this threaded comment; however, any edits to it will get removed if the file is opened in a newer version of Excel. Learn more: https://go.microsoft.com/fwlink/?linkid=870924
Comment:
    Comes from Project Counts C56 Sheet in Analysis Workbook </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tc={2A3F64E0-845C-424B-9470-D98EF71AB174}</author>
  </authors>
  <commentList>
    <comment ref="C33" authorId="0" shapeId="0" xr:uid="{2A3F64E0-845C-424B-9470-D98EF71AB174}">
      <text>
        <t>[Threaded comment]
Your version of Excel allows you to read this threaded comment; however, any edits to it will get removed if the file is opened in a newer version of Excel. Learn more: https://go.microsoft.com/fwlink/?linkid=870924
Comment:
    Updated to final recon (5-20-24 date)</t>
      </text>
    </comment>
  </commentList>
</comments>
</file>

<file path=xl/sharedStrings.xml><?xml version="1.0" encoding="utf-8"?>
<sst xmlns="http://schemas.openxmlformats.org/spreadsheetml/2006/main" count="1727" uniqueCount="660">
  <si>
    <t>Statewide Quarterly Report Template</t>
  </si>
  <si>
    <t>Tab 1: Ex Ante Results</t>
  </si>
  <si>
    <t>Final (updated 8-05-2023)</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</si>
  <si>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</si>
  <si>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</si>
  <si>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2"/>
        <color rgb="FFFF0000"/>
        <rFont val="Century Gothic"/>
        <family val="2"/>
      </rPr>
      <t>ComEd</t>
    </r>
    <r>
      <rPr>
        <b/>
        <sz val="12"/>
        <color theme="1"/>
        <rFont val="Century Gothic"/>
        <family val="2"/>
      </rPr>
      <t xml:space="preserve"> Ex Ante Results - Section 8-103B/8-104 (EEPS) Programs</t>
    </r>
  </si>
  <si>
    <t>LE Forecast</t>
  </si>
  <si>
    <t>Reg Asset (Labor/NonLabor)</t>
  </si>
  <si>
    <t>Budget</t>
  </si>
  <si>
    <t>Savings LE Name</t>
  </si>
  <si>
    <t>Spend LE Name</t>
  </si>
  <si>
    <t xml:space="preserve"> Section 8-103B/8-104
(EEPS) Program</t>
  </si>
  <si>
    <t>Net Energy Savings Achieved YTD
(MWh)</t>
  </si>
  <si>
    <t>2024 Original Plan 
Savings Goal
(MWh)*</t>
  </si>
  <si>
    <t>Approved Net Energy Savings Goal (MWh)**</t>
  </si>
  <si>
    <t>Implementation Plan Savings Goal
(MWh)</t>
  </si>
  <si>
    <t>% Savings Achieved Compared to Implementation Plan Savings Goal</t>
  </si>
  <si>
    <t>Program Costs YTD</t>
  </si>
  <si>
    <t>Incentive Costs YTD***</t>
  </si>
  <si>
    <t>Non-Incentive Costs YTD***</t>
  </si>
  <si>
    <t>2024 Original Plan 
Budget****</t>
  </si>
  <si>
    <t>2024
Approved Budget*****</t>
  </si>
  <si>
    <t>% of Costs YTD Compared to Approved Budget</t>
  </si>
  <si>
    <t>Commercial &amp; Industrial Programs</t>
  </si>
  <si>
    <t>Incentives</t>
  </si>
  <si>
    <t>Standard</t>
  </si>
  <si>
    <t>Custom</t>
  </si>
  <si>
    <t>ComEd Streetlightings</t>
  </si>
  <si>
    <t>Small Business</t>
  </si>
  <si>
    <t>Midstream/Upstream</t>
  </si>
  <si>
    <t>New Construction Bus/Pub</t>
  </si>
  <si>
    <t>Industrial Systems</t>
  </si>
  <si>
    <t>Retro-commissioning</t>
  </si>
  <si>
    <t>Behavior - Bus/Pub</t>
  </si>
  <si>
    <t>Facility Assessments</t>
  </si>
  <si>
    <t>Commercial Foodservice</t>
  </si>
  <si>
    <t>Electrification</t>
  </si>
  <si>
    <t>Business Outreach</t>
  </si>
  <si>
    <t>N/A</t>
  </si>
  <si>
    <t>Business General</t>
  </si>
  <si>
    <t>C&amp;I Programs Subtotal</t>
  </si>
  <si>
    <t>C&amp;I Private Sector Programs</t>
  </si>
  <si>
    <t>Incentives - Private</t>
  </si>
  <si>
    <t>Incentives-Standard - Private</t>
  </si>
  <si>
    <t>Incentives- Standard</t>
  </si>
  <si>
    <t>Standard - Private</t>
  </si>
  <si>
    <t>Incentives-Custom - Private</t>
  </si>
  <si>
    <t>Incentives - Custom</t>
  </si>
  <si>
    <t>Custom - Private</t>
  </si>
  <si>
    <t>Incentives - Custom - Private - Electrification</t>
  </si>
  <si>
    <t>Small Business-Small Business - Private</t>
  </si>
  <si>
    <t>Small Business - Private</t>
  </si>
  <si>
    <t>Midstream/Upstream-Private</t>
  </si>
  <si>
    <t>Business Instant Discounts</t>
  </si>
  <si>
    <t>Midstream Upstream - Private</t>
  </si>
  <si>
    <t>Midstream/Upstream-Private-Electrification</t>
  </si>
  <si>
    <t>Midstream/Upstream Private - Electrification</t>
  </si>
  <si>
    <t>Targeted Systems-Industrial Systems</t>
  </si>
  <si>
    <t>EE-Industrial Systems</t>
  </si>
  <si>
    <t>Industrial Systems - Private</t>
  </si>
  <si>
    <t>Targeted Systems-Retro-Commissioning - Private</t>
  </si>
  <si>
    <t>RetroCommissioning</t>
  </si>
  <si>
    <t>Retro-commissioning - Private</t>
  </si>
  <si>
    <t>Behavior - Bus/Pub-Strategic Energy Management - Private</t>
  </si>
  <si>
    <t>Strategic Energy Management</t>
  </si>
  <si>
    <t xml:space="preserve">Strategic Energy Management - Private </t>
  </si>
  <si>
    <t>New Construction - Bus/Pub-Private</t>
  </si>
  <si>
    <t>Non- Res New Construction</t>
  </si>
  <si>
    <t>New Construction - Private</t>
  </si>
  <si>
    <t>Facility Assessment</t>
  </si>
  <si>
    <t>Facility Assessment - Private</t>
  </si>
  <si>
    <t>Commercial Foodservice-Private</t>
  </si>
  <si>
    <t>EE - Commercial Food Private</t>
  </si>
  <si>
    <t>Commercial Foodservice - Private</t>
  </si>
  <si>
    <t>EE- C&amp;I Outreach  Private Sect</t>
  </si>
  <si>
    <t>Private Sector Outreach</t>
  </si>
  <si>
    <t>Private Sector General</t>
  </si>
  <si>
    <t>C&amp;I Programs - Private Sector Total</t>
  </si>
  <si>
    <t>C&amp;I Public Sector Programs</t>
  </si>
  <si>
    <t>Incentives - Public</t>
  </si>
  <si>
    <t>Incentives-Standard - Public</t>
  </si>
  <si>
    <t>Incentives- Standard - Public Sector</t>
  </si>
  <si>
    <t>Standard - Public</t>
  </si>
  <si>
    <t>Incentives-Custom - Public Sector</t>
  </si>
  <si>
    <t>Incentives - Custom - Public Sector</t>
  </si>
  <si>
    <t>Custom - Public</t>
  </si>
  <si>
    <t>Small Business-Small Business - Public</t>
  </si>
  <si>
    <t>Small Business Public Sector</t>
  </si>
  <si>
    <t>Small Business - Public</t>
  </si>
  <si>
    <t>Midstream/Upstream-Public</t>
  </si>
  <si>
    <t>Business Instant Discounts Public Sector</t>
  </si>
  <si>
    <t>Midstream/Upstream - Public</t>
  </si>
  <si>
    <t>Midstream/Upstream Public - Electrification</t>
  </si>
  <si>
    <t>Targeted Systems-Retro-Commissioning - Public</t>
  </si>
  <si>
    <t>RetroCommissioning Public Sector</t>
  </si>
  <si>
    <t>Retro-commissioning - Public</t>
  </si>
  <si>
    <t>Behavior - Bus/Pub-Strategic Energy Management - Public</t>
  </si>
  <si>
    <t>Strategic Energy Management Public Sector</t>
  </si>
  <si>
    <t>Strategic Energy Management - Public</t>
  </si>
  <si>
    <t>New Construction - Bus/Pub-Public</t>
  </si>
  <si>
    <t>Non- Res New Construction Public Sector</t>
  </si>
  <si>
    <t>New Construction - Public</t>
  </si>
  <si>
    <t>Facility Assessment Public Sector</t>
  </si>
  <si>
    <t>Facility Assessments - Public</t>
  </si>
  <si>
    <t>Commercial Foodservice-Public</t>
  </si>
  <si>
    <t>EE - Commercial Food Public</t>
  </si>
  <si>
    <t>Commercial Foodservice - Public</t>
  </si>
  <si>
    <t>EE- C&amp;I Outreach Public Sector</t>
  </si>
  <si>
    <t>Public Sector Outreach</t>
  </si>
  <si>
    <t>C&amp;I Programs - Public Sector Total</t>
  </si>
  <si>
    <t>Residential and Income Eligible Programs</t>
  </si>
  <si>
    <t>Behavior -Res/IE</t>
  </si>
  <si>
    <t>Single-Family Upgrades</t>
  </si>
  <si>
    <t>Multi-Family Upgrades</t>
  </si>
  <si>
    <t>Retail/Online</t>
  </si>
  <si>
    <t>Product Distribution</t>
  </si>
  <si>
    <t>New Construction - Income Eligible</t>
  </si>
  <si>
    <t>New Contruction - Electric</t>
  </si>
  <si>
    <t>Heating and Cooling - Contractor/Midstream Rebates</t>
  </si>
  <si>
    <t>Residential and IE General</t>
  </si>
  <si>
    <t>Residential and Income Eligible Programs Subtotal</t>
  </si>
  <si>
    <t>Residential Market Rate Programs</t>
  </si>
  <si>
    <t>Behavior - Res/IE-Home Energy Report</t>
  </si>
  <si>
    <t>Home Energy Report/ Residential Behavior</t>
  </si>
  <si>
    <t>Residential Behavior - Home Energy Report</t>
  </si>
  <si>
    <t>Single-Family Upgrades-Home Energy Assessment - MR</t>
  </si>
  <si>
    <t>EE - Home Energy Assessment</t>
  </si>
  <si>
    <t>Single-Family Upgrades – Home Energy Assessments - Market Rate</t>
  </si>
  <si>
    <t>Multi-Family Upgrades-Market Rate</t>
  </si>
  <si>
    <t>EE - Multi-Family Energy Assessment</t>
  </si>
  <si>
    <t>Multi-Family Upgrades - Market Rate</t>
  </si>
  <si>
    <t xml:space="preserve">Retail/Online-Retail - Market Rate + Retail/Online-Marketplace Non-Lighting + Retail/Online-Retail Products Platform </t>
  </si>
  <si>
    <t>Market Rate Retail + EE Marketplace Residential Products + Retial Product Platform</t>
  </si>
  <si>
    <t>Retail - Market Rate (includes Marketplace 2.0 Non-Lighting and Retail Products Platform)</t>
  </si>
  <si>
    <t>Product Distribution-Product Distribution - Market Rate</t>
  </si>
  <si>
    <t>Market Rate Product Distribution</t>
  </si>
  <si>
    <t>Product Distribution - Market Rate</t>
  </si>
  <si>
    <t>Residential New Construction-All-Electric New Construction</t>
  </si>
  <si>
    <t>Electric Homes New Construction</t>
  </si>
  <si>
    <t>All-Electric New Construction</t>
  </si>
  <si>
    <t>Contractor/Midstream Rebates-Contractor/Midstream Rebates</t>
  </si>
  <si>
    <t>EE Res Heating and Cooling</t>
  </si>
  <si>
    <t>Residential General</t>
  </si>
  <si>
    <t>Retail/Online-Retail - Market Rate-Electrification</t>
  </si>
  <si>
    <t>Retail - Market Rate - Electrification</t>
  </si>
  <si>
    <t>Residential New Construction-All-Electric New Construction-Electrification</t>
  </si>
  <si>
    <t>Electric Homes-Elec. Measures</t>
  </si>
  <si>
    <t>All-Electric New Construction - Electrification</t>
  </si>
  <si>
    <t>Contractor/Midstream Rebates-Contractor/Midstream Rebates-Electrification</t>
  </si>
  <si>
    <t>Res. Electrification</t>
  </si>
  <si>
    <t>Contractor/Midstream Rebates Electrification</t>
  </si>
  <si>
    <t>Residential Market Rate Subtotal</t>
  </si>
  <si>
    <t>Income Qualified Programs</t>
  </si>
  <si>
    <t>Single-Family Upgrades-Income Eligible Retrofits + Whole Home Electric-Single-Family IE (non-fuel switch)</t>
  </si>
  <si>
    <t>Single- Family IE Retrofits</t>
  </si>
  <si>
    <t>Single-Family Upgrades – Income Eligible Retrofits</t>
  </si>
  <si>
    <t>Single-Family Upgrades-Home Energy Assessment - IE</t>
  </si>
  <si>
    <t>(IE) Home Energy Assessment - Income Eligible</t>
  </si>
  <si>
    <t>Single-Family Upgrades – Home Energy Assessments - IE</t>
  </si>
  <si>
    <t>Multi-Family Upgrades-Income Eligible + Whole Home Electric-Multi-Family IE (non-fuel switch)</t>
  </si>
  <si>
    <t>Multi-Family IE Retrofits + Multi-Family Retrofits -HP</t>
  </si>
  <si>
    <t>Multi-Family Upgrades - Income Eligible</t>
  </si>
  <si>
    <t>Multi-Family Upgrades-Public Housing</t>
  </si>
  <si>
    <t>Public Housing Retrofits</t>
  </si>
  <si>
    <t>Multi-Family Upgrades - Public Housing</t>
  </si>
  <si>
    <t>Retail/Online-Retail - Income Eligible + Retail/Online-Retail - Income Eligible-Electrification</t>
  </si>
  <si>
    <t>IE Retail</t>
  </si>
  <si>
    <t>Retail - Income Eligible + Electrification</t>
  </si>
  <si>
    <t>Product Distribution-IE Kits + Product Distribution-Food Bank +  Product Distribution-Elementary Education - IE</t>
  </si>
  <si>
    <t>Product Distribution - Income Eligible</t>
  </si>
  <si>
    <t>Residential New Construction-Affordable Housing New Construction</t>
  </si>
  <si>
    <t>Affordable Housing New Construction</t>
  </si>
  <si>
    <t>Whole Home Electric-Multi-Family Electrification IE (fuel-switch)-Electrification + Whole Home Electric-Single-Family Electrification IE (fuel switch)-Electrification</t>
  </si>
  <si>
    <t>IE Multi Family Electrification + IE Single Family Electrification</t>
  </si>
  <si>
    <t>Whole Home Electrific (Single and Multi Family Upgrades Electrification - IE)</t>
  </si>
  <si>
    <t>Residential New Construction-Affordable Housing New Construction-Electrification</t>
  </si>
  <si>
    <t>Affordable Housing NC-Elect.</t>
  </si>
  <si>
    <t>Affordable Housing New Construction Electrification</t>
  </si>
  <si>
    <t>Income Eligible General</t>
  </si>
  <si>
    <t>IE General</t>
  </si>
  <si>
    <t>Income Qualified Programs Subtotal</t>
  </si>
  <si>
    <t>Demonstration of Breakthrough Equipment and Devices</t>
  </si>
  <si>
    <t>Portfolio Administration-R&amp;D + Portfolio Administration-R&amp;D-Electrification</t>
  </si>
  <si>
    <t>Emerging Tech (ET) and Market Transformation (MT)</t>
  </si>
  <si>
    <t>Emerging Technology/R&amp;D</t>
  </si>
  <si>
    <t>Voltage Optimization-Voltage Optimization</t>
  </si>
  <si>
    <t>Voltage Optimization</t>
  </si>
  <si>
    <t>EE - C&amp;I Optimization</t>
  </si>
  <si>
    <t>Business Energy Analyzer/Optimization</t>
  </si>
  <si>
    <t>Demonstration of Breakthrough Equipment and Devices Subtotal</t>
  </si>
  <si>
    <t>Other Fuel (Therm) Conversion</t>
  </si>
  <si>
    <t>Additional/Other Savings-Weatherization Purchase Agreement - Nicor</t>
  </si>
  <si>
    <t>Additional/Other Claimable Savings******</t>
  </si>
  <si>
    <t>Portfolio Administration-Lighting Carryover</t>
  </si>
  <si>
    <t>Lighting Carryover</t>
  </si>
  <si>
    <r>
      <t>Overall Total</t>
    </r>
    <r>
      <rPr>
        <b/>
        <sz val="10"/>
        <color rgb="FFFF0000"/>
        <rFont val="Century Gothic"/>
        <family val="2"/>
      </rPr>
      <t xml:space="preserve"> ComEd</t>
    </r>
    <r>
      <rPr>
        <b/>
        <sz val="10"/>
        <rFont val="Century Gothic"/>
        <family val="2"/>
      </rPr>
      <t xml:space="preserve"> Section 8-103B/8-104 (EEPS) Programs</t>
    </r>
  </si>
  <si>
    <t>Additional comment</t>
  </si>
  <si>
    <t>Footnotes:</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</si>
  <si>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</si>
  <si>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</si>
  <si>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</si>
  <si>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</si>
  <si>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</si>
  <si>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******Per ComEd’s Revised Stipulation Agreement, ComEd has reached an agreement with Nicor to support investment in building envelope improvements in non-IE homes by purchasing net kWh from Nicor’s Single Family Air Sealing and Insulation (SF-ASI) and Multi Family Air Sealing and Insulation (MF-ASI) offerings. First-year savings from the CY2023 agreement are estimated to be 1,035 MWh.</t>
  </si>
  <si>
    <t>2024 Budget / LRP</t>
  </si>
  <si>
    <t>Final LE Submission</t>
  </si>
  <si>
    <t>Dept</t>
  </si>
  <si>
    <t>ITN</t>
  </si>
  <si>
    <t>ITN Name</t>
  </si>
  <si>
    <t>Project ID</t>
  </si>
  <si>
    <t>Project Description</t>
  </si>
  <si>
    <t>Actuals</t>
  </si>
  <si>
    <t>Residential Direct to Consumer</t>
  </si>
  <si>
    <t>EERSSFHP</t>
  </si>
  <si>
    <t>EERSMFSP</t>
  </si>
  <si>
    <t>17EEPSPUB</t>
  </si>
  <si>
    <t>17EELIMFR</t>
  </si>
  <si>
    <t>Multi-Family IE Retrofits</t>
  </si>
  <si>
    <t>22EEMFNEH</t>
  </si>
  <si>
    <t>Multi-Family Retrofits -HP</t>
  </si>
  <si>
    <t>17EELISFR</t>
  </si>
  <si>
    <t>22EEIEHEA</t>
  </si>
  <si>
    <t>22EEIEMFE</t>
  </si>
  <si>
    <t>IE Multi Family Electrification</t>
  </si>
  <si>
    <t>22EEIESFE</t>
  </si>
  <si>
    <t>IE Single Family Electrification</t>
  </si>
  <si>
    <t>Various PIDs</t>
  </si>
  <si>
    <t>Residential Channels</t>
  </si>
  <si>
    <t>22EEMRPRD</t>
  </si>
  <si>
    <t>22EEMRRTL</t>
  </si>
  <si>
    <t>Market Rate Retail</t>
  </si>
  <si>
    <t>17EELINEW</t>
  </si>
  <si>
    <t>EERSTUNE</t>
  </si>
  <si>
    <t>22EEIEPRD</t>
  </si>
  <si>
    <t>22EEEHNCP</t>
  </si>
  <si>
    <t>21EEMPPRD</t>
  </si>
  <si>
    <t>EE Marketplace Residential Products</t>
  </si>
  <si>
    <t>21EEMPLIT</t>
  </si>
  <si>
    <t>EE - Marketplace Lighting Products</t>
  </si>
  <si>
    <t>22EEIERTL</t>
  </si>
  <si>
    <t>22EEERHVC</t>
  </si>
  <si>
    <t>17EETFBAN</t>
  </si>
  <si>
    <t>Food Bank-LED Distribution</t>
  </si>
  <si>
    <t>23EEEHNCM</t>
  </si>
  <si>
    <t>17EELILIT</t>
  </si>
  <si>
    <t>Lighting Discounts - Income Eligible</t>
  </si>
  <si>
    <t>22EEAHNCE</t>
  </si>
  <si>
    <t>14EERSPRD</t>
  </si>
  <si>
    <t>Product Rebates</t>
  </si>
  <si>
    <t>23EERPP</t>
  </si>
  <si>
    <t>Retial Products Platform</t>
  </si>
  <si>
    <t>EERSAPPL</t>
  </si>
  <si>
    <t>Appliance Recycling Program</t>
  </si>
  <si>
    <t>Residential Journey Coordination</t>
  </si>
  <si>
    <t>20EEIEGEN</t>
  </si>
  <si>
    <t>11EERSGEN</t>
  </si>
  <si>
    <t>22EERSEDU</t>
  </si>
  <si>
    <t>Education &amp; Awareness - Residential (EEDEDUCA)</t>
  </si>
  <si>
    <t>16CSBIDA6</t>
  </si>
  <si>
    <t>Various PID's</t>
  </si>
  <si>
    <t>Ledger Corrections</t>
  </si>
  <si>
    <t>EE Reg Asset Labor - Residential</t>
  </si>
  <si>
    <t>Various</t>
  </si>
  <si>
    <t>Residential Implementation</t>
  </si>
  <si>
    <t>EE Business Programs</t>
  </si>
  <si>
    <t>11EECIGEN</t>
  </si>
  <si>
    <t>EECIPRES</t>
  </si>
  <si>
    <t>17EEPSINC</t>
  </si>
  <si>
    <t>EECISBDI</t>
  </si>
  <si>
    <t>17EEPSBIZ</t>
  </si>
  <si>
    <t>17EETRURL</t>
  </si>
  <si>
    <t>Rural Small Business Kits</t>
  </si>
  <si>
    <t>20EETPSBK</t>
  </si>
  <si>
    <t>Small Business Kits - Public</t>
  </si>
  <si>
    <t>17EECIOUT</t>
  </si>
  <si>
    <t>17EEPSOUT</t>
  </si>
  <si>
    <t>22EECIEDU</t>
  </si>
  <si>
    <t xml:space="preserve">Education &amp; Awareness - C&amp;I </t>
  </si>
  <si>
    <t>23EEKAOUT</t>
  </si>
  <si>
    <t>C&amp;I Key Accounts</t>
  </si>
  <si>
    <t>14EECIOPT</t>
  </si>
  <si>
    <t>EE C&amp;I Outreach</t>
  </si>
  <si>
    <t>EE Technical Programs</t>
  </si>
  <si>
    <t>11EECMAIR</t>
  </si>
  <si>
    <t>16EECISEM</t>
  </si>
  <si>
    <t>17EEPSSEM</t>
  </si>
  <si>
    <t>EECICUST</t>
  </si>
  <si>
    <t>17EEPSCUS</t>
  </si>
  <si>
    <t>EECIRETR</t>
  </si>
  <si>
    <t>17EEPSRET</t>
  </si>
  <si>
    <t>18EECITCH</t>
  </si>
  <si>
    <t>EE-C&amp;I Tech Support General E</t>
  </si>
  <si>
    <t>11EEMIDIN</t>
  </si>
  <si>
    <t>17EEPSMID</t>
  </si>
  <si>
    <t>EECINCON</t>
  </si>
  <si>
    <t>17EEPSNEW</t>
  </si>
  <si>
    <t>23EECICFS</t>
  </si>
  <si>
    <t>23EEPSCFS</t>
  </si>
  <si>
    <t>19EETPAGR</t>
  </si>
  <si>
    <t>Third Party C&amp;I Agricultural</t>
  </si>
  <si>
    <t>19EETPESG</t>
  </si>
  <si>
    <t>Third Party C&amp;I Energy Smart Grocer</t>
  </si>
  <si>
    <t>19EETPSFT</t>
  </si>
  <si>
    <t>Public Buildings in Distressed Communities</t>
  </si>
  <si>
    <t>19EETPNPR</t>
  </si>
  <si>
    <t>Third Party C&amp;I Non Profit Retrofits</t>
  </si>
  <si>
    <t>EE Engineering Programs</t>
  </si>
  <si>
    <t>17EECIFAS</t>
  </si>
  <si>
    <t>17EEPSFAS</t>
  </si>
  <si>
    <t>23EESCPRI</t>
  </si>
  <si>
    <t>Outreach Private Schools</t>
  </si>
  <si>
    <t>23EESCPUB</t>
  </si>
  <si>
    <t>Outreach Public Schools</t>
  </si>
  <si>
    <t>23EEPSTA</t>
  </si>
  <si>
    <t>Outreach Public Schools Tech Assistance</t>
  </si>
  <si>
    <t>EE500EUDS</t>
  </si>
  <si>
    <t>EE EUDS (Energy Usage Data System)</t>
  </si>
  <si>
    <t>EE Reg Asset Labor - C&amp;I</t>
  </si>
  <si>
    <t>C&amp;I Implementation</t>
  </si>
  <si>
    <t>Implementation Programs</t>
  </si>
  <si>
    <t>Evaluation</t>
  </si>
  <si>
    <t>23EEGNEVL</t>
  </si>
  <si>
    <t>2023 Evaluation Expense</t>
  </si>
  <si>
    <t>24EEGNEVL</t>
  </si>
  <si>
    <t>2024 Evaluation Expense</t>
  </si>
  <si>
    <t>25EEGNEVL</t>
  </si>
  <si>
    <t>2025 Evaluation Expense</t>
  </si>
  <si>
    <t>Planning</t>
  </si>
  <si>
    <t>EEGNPLAN6</t>
  </si>
  <si>
    <t>AEG - 2021 Plan 6</t>
  </si>
  <si>
    <t>Stakeholder Facilitation</t>
  </si>
  <si>
    <t>EEGNSTKHD</t>
  </si>
  <si>
    <t>EE Portfolio Admin Stakeholders</t>
  </si>
  <si>
    <t>R&amp;D</t>
  </si>
  <si>
    <t>EEGNEMTC</t>
  </si>
  <si>
    <t>Research &amp; Development</t>
  </si>
  <si>
    <t>Emerging Tech</t>
  </si>
  <si>
    <t>22EERDIE</t>
  </si>
  <si>
    <t>Research &amp; Development - Income Eligible</t>
  </si>
  <si>
    <t>22EEMMCSL</t>
  </si>
  <si>
    <t>Legal Support</t>
  </si>
  <si>
    <t>EEGNLEGAL</t>
  </si>
  <si>
    <t>Internal Legal and Outside Counsel</t>
  </si>
  <si>
    <t>EEGNDCSPT</t>
  </si>
  <si>
    <t>Non-EE Labor Charges re: PCI Timekeeping Rpt</t>
  </si>
  <si>
    <t>Portfolio Analytics</t>
  </si>
  <si>
    <t>18EEGNITS</t>
  </si>
  <si>
    <t>EE- Portfolio Analytics Services &amp; Su</t>
  </si>
  <si>
    <t>EE-Mrkt Research</t>
  </si>
  <si>
    <t>11EEMKRES</t>
  </si>
  <si>
    <t>Other General - SP&amp;I</t>
  </si>
  <si>
    <t>Legal and IT Support</t>
  </si>
  <si>
    <t>EE Reg Asset Labor - SP&amp;I</t>
  </si>
  <si>
    <t>Portfolio SP&amp;I Subtotal</t>
  </si>
  <si>
    <t>Reporting</t>
  </si>
  <si>
    <t>EEGNETRK</t>
  </si>
  <si>
    <t>EE Portfolio Admin eTrack</t>
  </si>
  <si>
    <t>EEGNSLSFR</t>
  </si>
  <si>
    <t>EE Portfolio Admin Salesforce</t>
  </si>
  <si>
    <t>EEGNSRE</t>
  </si>
  <si>
    <t>EE Scorecard Automation</t>
  </si>
  <si>
    <t>BusOps</t>
  </si>
  <si>
    <t>18EEPFEXP</t>
  </si>
  <si>
    <t>EE-Gen Portfolio Support</t>
  </si>
  <si>
    <t>22EEMKDEV</t>
  </si>
  <si>
    <t>Market Development Initiative</t>
  </si>
  <si>
    <t>OBFINEDA</t>
  </si>
  <si>
    <t>Cost of EDA on bill financing</t>
  </si>
  <si>
    <t>Finance</t>
  </si>
  <si>
    <t>Forecast File Enhancement</t>
  </si>
  <si>
    <t>Finance - B&amp;CS</t>
  </si>
  <si>
    <t>Other General</t>
  </si>
  <si>
    <t>EEGNADMN</t>
  </si>
  <si>
    <t>General Program Costs</t>
  </si>
  <si>
    <t>EEGNTRVL</t>
  </si>
  <si>
    <t>EE - Conference Travel Costs</t>
  </si>
  <si>
    <t>18EEADMN</t>
  </si>
  <si>
    <t>Other General - B&amp;CS</t>
  </si>
  <si>
    <t>General Admin and EE Travel</t>
  </si>
  <si>
    <t>Customer Solutions</t>
  </si>
  <si>
    <t>11EECLCNT</t>
  </si>
  <si>
    <t>Call Center Budget</t>
  </si>
  <si>
    <t>Customer Solutions- Call Center</t>
  </si>
  <si>
    <t>EE Reg Asset Labor - B&amp;CS</t>
  </si>
  <si>
    <t>Portfolio B&amp;CS Subtotal</t>
  </si>
  <si>
    <t>EE Reg Asset Labor - CS VP</t>
  </si>
  <si>
    <t>Portfolio Programs</t>
  </si>
  <si>
    <t>Total EE Regulatory Asset (GL 182890)</t>
  </si>
  <si>
    <t>Streetlight - Capital*</t>
  </si>
  <si>
    <t>EE Incentives for replacement of ComEd-owned streetlights</t>
  </si>
  <si>
    <t>TOTAL RIDER EEPP (with Capital Incentives)</t>
  </si>
  <si>
    <t>Evaluation Costs</t>
  </si>
  <si>
    <t>Program Name</t>
  </si>
  <si>
    <t>EffectiveName</t>
  </si>
  <si>
    <t>LE MWh YE</t>
  </si>
  <si>
    <t>Actual YTD</t>
  </si>
  <si>
    <t>Behavior - Res/IE</t>
  </si>
  <si>
    <t>Home Energy Report</t>
  </si>
  <si>
    <t>Whole Home Electric</t>
  </si>
  <si>
    <t>Single-Family IE (non-fuel switch)</t>
  </si>
  <si>
    <t>Multi-Family IE (non-fuel switch)</t>
  </si>
  <si>
    <t>Income Eligible Retrofits</t>
  </si>
  <si>
    <t>Strategic Energy Management - Private</t>
  </si>
  <si>
    <t>Home Energy Assessment - MR</t>
  </si>
  <si>
    <t>Home Energy Assessment - IE</t>
  </si>
  <si>
    <t>Private</t>
  </si>
  <si>
    <t>Public Housing</t>
  </si>
  <si>
    <t>Public</t>
  </si>
  <si>
    <t>Market Rate</t>
  </si>
  <si>
    <t>Income Eligible</t>
  </si>
  <si>
    <t>Custom - Public Sector</t>
  </si>
  <si>
    <t>Retail Products Platform</t>
  </si>
  <si>
    <t>Retail - Market Rate</t>
  </si>
  <si>
    <t>Retail - Income Eligible</t>
  </si>
  <si>
    <t>New Construction - Bus/Pub</t>
  </si>
  <si>
    <t>Marketplace Non-Lighting</t>
  </si>
  <si>
    <t>Residential New Construction</t>
  </si>
  <si>
    <t>Targeted Systems</t>
  </si>
  <si>
    <t>Retro-Commissioning - Private</t>
  </si>
  <si>
    <t>Retro-Commissioning - Public</t>
  </si>
  <si>
    <t>IE Kits</t>
  </si>
  <si>
    <t>Additional/Other Savings</t>
  </si>
  <si>
    <t>Weatherization Purchase Agreement - Nicor</t>
  </si>
  <si>
    <t>Food Bank</t>
  </si>
  <si>
    <t>Portfolio Administration</t>
  </si>
  <si>
    <t>Elementary Education - IE</t>
  </si>
  <si>
    <t>Contractor/Midstream Rebates</t>
  </si>
  <si>
    <t>LE EEE YE</t>
  </si>
  <si>
    <t>Net EEE YTD</t>
  </si>
  <si>
    <t>Multi-Family Electrification IE (fuel-switch)</t>
  </si>
  <si>
    <t>Single-Family Electrification IE (fuel switch)</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</si>
  <si>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</si>
  <si>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</si>
  <si>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FF0000"/>
        <rFont val="Century Gothic"/>
        <family val="2"/>
      </rPr>
      <t>ComEd</t>
    </r>
    <r>
      <rPr>
        <b/>
        <sz val="11"/>
        <color theme="1"/>
        <rFont val="Century Gothic"/>
        <family val="2"/>
      </rPr>
      <t xml:space="preserve"> Section 8-103B/8-104 (EEPS) Costs as of</t>
    </r>
  </si>
  <si>
    <t>Section 8-103B/8-104 (EEPS) Cost Category</t>
  </si>
  <si>
    <t xml:space="preserve"> 2024
Actual Costs YTD</t>
  </si>
  <si>
    <t>Program Costs by Sector</t>
  </si>
  <si>
    <t>C&amp;I Programs Private Sector</t>
  </si>
  <si>
    <t xml:space="preserve">C&amp;I Programs Public Sector </t>
  </si>
  <si>
    <t>Residential (Market Rate) Programs</t>
  </si>
  <si>
    <t>Market Transformation Programs</t>
  </si>
  <si>
    <t>Third Party Programs (Beginning in 2021)</t>
  </si>
  <si>
    <r>
      <t xml:space="preserve">Total </t>
    </r>
    <r>
      <rPr>
        <b/>
        <sz val="10"/>
        <color rgb="FFFF0000"/>
        <rFont val="Century Gothic"/>
        <family val="2"/>
      </rPr>
      <t xml:space="preserve">ComEd </t>
    </r>
    <r>
      <rPr>
        <b/>
        <sz val="10"/>
        <color theme="1"/>
        <rFont val="Century Gothic"/>
        <family val="2"/>
      </rPr>
      <t>Program Costs</t>
    </r>
  </si>
  <si>
    <t>Portfolio-Level Costs by Portfolio Cost Category (Section 8-103B/8-104 EEPS)</t>
  </si>
  <si>
    <t xml:space="preserve">Demonstration of Breakthrough
Equipment and Devices Costs </t>
  </si>
  <si>
    <t>Marketing Costs (including Education and Outreach)</t>
  </si>
  <si>
    <t xml:space="preserve">Portfolio Administrative Costs </t>
  </si>
  <si>
    <t>Capital Streetlights</t>
  </si>
  <si>
    <r>
      <t xml:space="preserve">Total </t>
    </r>
    <r>
      <rPr>
        <b/>
        <sz val="10"/>
        <color rgb="FFFF0000"/>
        <rFont val="Century Gothic"/>
        <family val="2"/>
      </rPr>
      <t>ComEd</t>
    </r>
    <r>
      <rPr>
        <b/>
        <sz val="10"/>
        <color theme="1"/>
        <rFont val="Century Gothic"/>
        <family val="2"/>
      </rPr>
      <t xml:space="preserve"> Portfolio-Level Costs</t>
    </r>
  </si>
  <si>
    <r>
      <t xml:space="preserve">Total </t>
    </r>
    <r>
      <rPr>
        <b/>
        <sz val="10"/>
        <color rgb="FFFF0000"/>
        <rFont val="Century Gothic"/>
        <family val="2"/>
      </rPr>
      <t>ComEd</t>
    </r>
    <r>
      <rPr>
        <b/>
        <sz val="10"/>
        <rFont val="Century Gothic"/>
        <family val="2"/>
      </rPr>
      <t xml:space="preserve"> Program and Portfolio-Level Section 8-103B/8-104 (EEPS) Costs</t>
    </r>
  </si>
  <si>
    <t>Overall Total Costs</t>
  </si>
  <si>
    <t>2024
Actual Costs YTD</t>
  </si>
  <si>
    <t>2024
Approved Budget</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</si>
  <si>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</si>
  <si>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</si>
  <si>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FF0000"/>
        <rFont val="Century Gothic"/>
        <family val="2"/>
      </rPr>
      <t>ComEd</t>
    </r>
    <r>
      <rPr>
        <b/>
        <sz val="11"/>
        <rFont val="Century Gothic"/>
        <family val="2"/>
      </rPr>
      <t xml:space="preserve"> Section 8-103B/8-104 (EEPS) Energy Saved (MWh) as of</t>
    </r>
  </si>
  <si>
    <t xml:space="preserve">IL Department of Commerce and Economic Opportunity Energy Saved (MWh) </t>
  </si>
  <si>
    <t>Program Year</t>
  </si>
  <si>
    <t>Evaluation Status
(Ex Ante, Verified***, or ICC Approved)</t>
  </si>
  <si>
    <t>Net Energy Savings Achieved
(MWh)</t>
  </si>
  <si>
    <t>Original Plan Savings Goal** (MWh)</t>
  </si>
  <si>
    <t>Net Energy Savings Goal* (MWh)</t>
  </si>
  <si>
    <t>% of Net Energy Savings Goal Achieved</t>
  </si>
  <si>
    <t>Department</t>
  </si>
  <si>
    <t>EPY1</t>
  </si>
  <si>
    <t>EPY2</t>
  </si>
  <si>
    <t>EPY3</t>
  </si>
  <si>
    <t>EPY4/
GPY1</t>
  </si>
  <si>
    <t>EPY5/
GPY2</t>
  </si>
  <si>
    <t>EPY6/
GPY3</t>
  </si>
  <si>
    <t>EPY7/
GPY4</t>
  </si>
  <si>
    <t>EPY8/
GPY5</t>
  </si>
  <si>
    <t>EPY9/
GPY6*</t>
  </si>
  <si>
    <t>EPY1- 6/1/08-5/31/09</t>
  </si>
  <si>
    <t>ICC Approved</t>
  </si>
  <si>
    <t>Net Savings Achieved (MWh)</t>
  </si>
  <si>
    <t>EPY2- 6/1/09-5/31/10</t>
  </si>
  <si>
    <t>Evaluation Status (Ex Ante, Verified**, or ICC Approved)</t>
  </si>
  <si>
    <t>Verified</t>
  </si>
  <si>
    <t>EPY3- 6/1/10-5/31/11</t>
  </si>
  <si>
    <t>Source</t>
  </si>
  <si>
    <t>Docket 10-0520, ComEd PY1 Evaluation Summary Report (2009-12-23), p. 17.</t>
  </si>
  <si>
    <t>Docket 10-0520, Staff Ex. 1.1, p. 12 (Navigant Memo, DCEO PY2 Energy Impact Summary (2011-09-21)).</t>
  </si>
  <si>
    <t>Docket 11-0593.</t>
  </si>
  <si>
    <t>Docket 13-0078.</t>
  </si>
  <si>
    <t>Docket 14-0075.</t>
  </si>
  <si>
    <t>Docket 15-0274.</t>
  </si>
  <si>
    <t>EPY7/GPY4 DCEO Cost Effectiveness Summary Report, p. 7.</t>
  </si>
  <si>
    <t>Docket 19-0684</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</si>
  <si>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</si>
  <si>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</si>
  <si>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</si>
  <si>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</si>
  <si>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</si>
  <si>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</si>
  <si>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</si>
  <si>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</si>
  <si>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</si>
  <si>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</si>
  <si>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</si>
  <si>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Plan 5</t>
  </si>
  <si>
    <t>2018-2021 Plan Total</t>
  </si>
  <si>
    <t>Plan 6</t>
  </si>
  <si>
    <t>Ex Ante</t>
  </si>
  <si>
    <t>Pending</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</si>
  <si>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</si>
  <si>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</si>
  <si>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</si>
  <si>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</si>
  <si>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</si>
  <si>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</si>
  <si>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t>Environmental and Economic Impacts for the</t>
    </r>
    <r>
      <rPr>
        <b/>
        <sz val="11"/>
        <color rgb="FFFF0000"/>
        <rFont val="Century Gothic"/>
        <family val="2"/>
      </rPr>
      <t xml:space="preserve"> ComEd</t>
    </r>
    <r>
      <rPr>
        <b/>
        <sz val="11"/>
        <rFont val="Century Gothic"/>
        <family val="2"/>
      </rPr>
      <t xml:space="preserve"> Service Territory as of</t>
    </r>
    <r>
      <rPr>
        <b/>
        <sz val="11"/>
        <color rgb="FFFF0000"/>
        <rFont val="Century Gothic"/>
        <family val="2"/>
      </rPr>
      <t xml:space="preserve"> </t>
    </r>
  </si>
  <si>
    <t>Performance Metrics (Equivalents)*</t>
  </si>
  <si>
    <t>EPY9/
GPY6****</t>
  </si>
  <si>
    <t>CY2018</t>
  </si>
  <si>
    <t>CY2019</t>
  </si>
  <si>
    <t>CY2020</t>
  </si>
  <si>
    <t>CY2021</t>
  </si>
  <si>
    <t>CY2022</t>
  </si>
  <si>
    <t>CY2023</t>
  </si>
  <si>
    <t>CY2024</t>
  </si>
  <si>
    <t>Net Energy Savings Achieved (MWh)**</t>
  </si>
  <si>
    <t>Carbon reduction (tons)</t>
  </si>
  <si>
    <t>Cars removed from the road</t>
  </si>
  <si>
    <t>Acres of trees planted</t>
  </si>
  <si>
    <t>Number of homes powered for 1 year*****</t>
  </si>
  <si>
    <t>Direct Portfolio Jobs******</t>
  </si>
  <si>
    <t>Income qualified homes served***</t>
  </si>
  <si>
    <t>Performance Metrics (Equivalents) Since inception*******</t>
  </si>
  <si>
    <t>CY2008</t>
  </si>
  <si>
    <t>CY2009</t>
  </si>
  <si>
    <t>CY2010</t>
  </si>
  <si>
    <t>CY2011</t>
  </si>
  <si>
    <t>CY2012</t>
  </si>
  <si>
    <t>CY2013</t>
  </si>
  <si>
    <t>CY2014</t>
  </si>
  <si>
    <t>CY2015</t>
  </si>
  <si>
    <t>CY2016</t>
  </si>
  <si>
    <t>CY2017</t>
  </si>
  <si>
    <t>Electric Bill Savings ($ Millions)</t>
  </si>
  <si>
    <t>Net Energy Savings Achieved (MWh)********</t>
  </si>
  <si>
    <t>Carbon reduction (metric tons)</t>
  </si>
  <si>
    <t xml:space="preserve">Cars removed from the road </t>
  </si>
  <si>
    <t xml:space="preserve">Acres of trees planted </t>
  </si>
  <si>
    <t>Number of homes powered for one year</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</si>
  <si>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</si>
  <si>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</si>
  <si>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Includes Single Family Retrofits (CBA+IHWAP), Multi Family Retrofits (IEMS+IHWAP), Affordable Housing, Public Housing Retrofits, IE Kits, Elementary Education Kits.  Excludes Lighting Discounts and Food Bank.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</si>
  <si>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</si>
  <si>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</si>
  <si>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******Direct portfolio Jobs reflect actual positions held by ComEd and its contractors that are part of the Rider EEPP and does not attempt to capture indirect jobs in the energy efficiency industry that may result from the ComEd Energy Efficiency Program.</t>
  </si>
  <si>
    <t>*******This includes performance metrics for $ saved by customers, net energy savings, carbon reduction, cars removed from the road, acres of trees planted and number of homes powered since inception of the program. Data presented is cumulative.</t>
  </si>
  <si>
    <t>********Legacy and persisting savings from prior year's measures are partially claimed each quarter to avoid a substantial increase in estimated customer bill savings at the start of each year.</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</si>
  <si>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</si>
  <si>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</si>
  <si>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</si>
  <si>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</si>
  <si>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</si>
  <si>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</si>
  <si>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FF0000"/>
        <rFont val="Century Gothic"/>
        <family val="2"/>
      </rPr>
      <t>ComEd</t>
    </r>
    <r>
      <rPr>
        <b/>
        <sz val="11"/>
        <color theme="1"/>
        <rFont val="Century Gothic"/>
        <family val="2"/>
      </rPr>
      <t xml:space="preserve"> CPAS and AAIG Progress Ex Ante Results - Section 8-103B Portfolio</t>
    </r>
    <r>
      <rPr>
        <b/>
        <sz val="11"/>
        <color rgb="FFFF0000"/>
        <rFont val="Century Gothic"/>
        <family val="2"/>
      </rPr>
      <t xml:space="preserve"> </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</si>
  <si>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</si>
  <si>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</si>
  <si>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</si>
  <si>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</si>
  <si>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</si>
  <si>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</si>
  <si>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</si>
  <si>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</si>
  <si>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</si>
  <si>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</si>
  <si>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</si>
  <si>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</si>
  <si>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</si>
  <si>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</si>
  <si>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</si>
  <si>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</si>
  <si>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</si>
  <si>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</si>
  <si>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</si>
  <si>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</si>
  <si>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</si>
  <si>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</si>
  <si>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</si>
  <si>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</si>
  <si>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</si>
  <si>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</si>
  <si>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</si>
  <si>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</si>
  <si>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</si>
  <si>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</si>
  <si>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</si>
  <si>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</si>
  <si>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</si>
  <si>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</si>
  <si>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</si>
  <si>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</si>
  <si>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</si>
  <si>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</si>
  <si>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</si>
  <si>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</si>
  <si>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</si>
  <si>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</si>
  <si>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</si>
  <si>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</si>
  <si>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</si>
  <si>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r>
      <t xml:space="preserve">= o * b    </t>
    </r>
    <r>
      <rPr>
        <i/>
        <sz val="8"/>
        <color theme="1"/>
        <rFont val="Century Gothic"/>
        <family val="2"/>
      </rPr>
      <t>**See footnote</t>
    </r>
  </si>
  <si>
    <t>q</t>
  </si>
  <si>
    <t>Current Year Applicable Annual Incremental Goal (MWh)</t>
  </si>
  <si>
    <t xml:space="preserve">= c - p </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</si>
  <si>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</si>
  <si>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</si>
  <si>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</si>
  <si>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</si>
  <si>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</si>
  <si>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</si>
  <si>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</si>
  <si>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</si>
  <si>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</si>
  <si>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</si>
  <si>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</si>
  <si>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</si>
  <si>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</si>
  <si>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</si>
  <si>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</si>
  <si>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*Savings from Measures Installed post-2017 Expiring in Current Year per Guidehouse's April 2024 first draft of evaluation report.</t>
  </si>
  <si>
    <t>**Calculations overwritten due to baseline variances between Revised Plan 6's CY2022 and CY2023 from different opt-out customers</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</si>
  <si>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</si>
  <si>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</si>
  <si>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FF0000"/>
        <rFont val="Century Gothic"/>
        <family val="2"/>
      </rPr>
      <t>ComEd</t>
    </r>
    <r>
      <rPr>
        <b/>
        <sz val="11"/>
        <rFont val="Century Gothic"/>
        <family val="2"/>
      </rPr>
      <t xml:space="preserve"> Service Territory Historical Energy Efficiency Costs as of</t>
    </r>
  </si>
  <si>
    <r>
      <t xml:space="preserve">Actual </t>
    </r>
    <r>
      <rPr>
        <b/>
        <sz val="11"/>
        <color rgb="FFFF0000"/>
        <rFont val="Century Gothic"/>
        <family val="2"/>
      </rPr>
      <t xml:space="preserve">ComEd </t>
    </r>
    <r>
      <rPr>
        <b/>
        <sz val="11"/>
        <color theme="0"/>
        <rFont val="Century Gothic"/>
        <family val="2"/>
      </rPr>
      <t>EEPS Costs</t>
    </r>
  </si>
  <si>
    <t>Actual DCEO EEPS Costs</t>
  </si>
  <si>
    <t>Total Actual EEPS Costs (ComEd + DCEO)</t>
  </si>
  <si>
    <t>Actual Section 16-111.5B Costs</t>
  </si>
  <si>
    <t>Total Actual EEPS + Section 16-111.5B Costs</t>
  </si>
  <si>
    <t>Actual ComEd EEPS Costs YTD</t>
  </si>
  <si>
    <t>Approved ComEd EEPS Budget</t>
  </si>
  <si>
    <t>16CSBIDA6 (moved)</t>
  </si>
  <si>
    <t xml:space="preserve"> Portfolio Admin Support</t>
  </si>
  <si>
    <t>2024</t>
  </si>
  <si>
    <t>Sep Year-To-Date</t>
  </si>
  <si>
    <t>CY2024 Q3</t>
  </si>
  <si>
    <t>2024 LRP</t>
  </si>
  <si>
    <t>Retail/Online-Retail - Income Eligible</t>
  </si>
  <si>
    <t>Portfolio Administration-R&amp;D</t>
  </si>
  <si>
    <t>With Electrification added back to 9+3 Savings LE tab</t>
  </si>
  <si>
    <t>All Other Electrification Savings *******</t>
  </si>
  <si>
    <t>******Due to the latest Energy Efficiency Electrification Implementation Plan Savings Goal exceeding the CY2024 cap for claimable electrification savings, all electrification savings apart from Whole Home Electric are now aggregated into a singular row as "Electrification Savings" as opposed to a programmatic breakout.</t>
  </si>
  <si>
    <t>Q3 YTD</t>
  </si>
  <si>
    <t>Portfolio</t>
  </si>
  <si>
    <t>Reporting Program</t>
  </si>
  <si>
    <t>Row Labels</t>
  </si>
  <si>
    <t>Grand Total</t>
  </si>
  <si>
    <t>Sum of Q3 YTD</t>
  </si>
  <si>
    <t>Sum of 2024</t>
  </si>
  <si>
    <t>Marketing</t>
  </si>
  <si>
    <t>IE</t>
  </si>
  <si>
    <t>C&amp;I Private</t>
  </si>
  <si>
    <t>C&amp;I Public</t>
  </si>
  <si>
    <t>TOTAL</t>
  </si>
  <si>
    <t>Home Energy Report/ Residential Behavior 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</si>
</sst>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_);[Red]_(* \(#,##0\);_(* &quot;-&quot;??_);_(@_)"/>
    <numFmt numFmtId="168" formatCode="#,##0.0"/>
  </numFmts>
  <fonts count="91" x14ac:knownFonts="1">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sz val="11"/>
      <color rgb="FFFF0000"/>
      <name val="Century Gothic"/>
      <family val="2"/>
    </font>
    <font>
      <sz val="11"/>
      <name val="Calibri"/>
      <family val="2"/>
      <scheme val="minor"/>
    </font>
    <font>
      <b/>
      <sz val="11"/>
      <color theme="1"/>
      <name val="Calibri"/>
      <family val="2"/>
      <scheme val="minor"/>
    </font>
    <font>
      <b/>
      <i/>
      <sz val="10"/>
      <name val="Century Gothic"/>
      <family val="2"/>
    </font>
    <font>
      <sz val="11"/>
      <color rgb="FFFF0000"/>
      <name val="Calibri"/>
      <family val="2"/>
      <scheme val="minor"/>
    </font>
    <font>
      <sz val="11"/>
      <color theme="1"/>
      <name val="Calibri"/>
      <family val="2"/>
      <scheme val="minor"/>
    </font>
    <font>
      <sz val="8"/>
      <name val="Calibri"/>
      <family val="2"/>
      <scheme val="minor"/>
    </font>
    <font>
      <sz val="8"/>
      <color theme="1"/>
      <name val="Calibri"/>
      <family val="2"/>
      <scheme val="minor"/>
    </font>
    <font>
      <sz val="8"/>
      <color rgb="FF000000"/>
      <name val="Calibri"/>
      <family val="2"/>
    </font>
    <font>
      <b/>
      <i/>
      <sz val="11"/>
      <name val="Century Gothic"/>
      <family val="2"/>
    </font>
    <font>
      <i/>
      <sz val="11"/>
      <name val="Century Gothic"/>
      <family val="2"/>
    </font>
    <font>
      <b/>
      <sz val="10"/>
      <color rgb="FF000000"/>
      <name val="Century Gothic"/>
      <family val="2"/>
    </font>
    <font>
      <b/>
      <sz val="11"/>
      <color rgb="FFFF0000"/>
      <name val="Calibri"/>
      <family val="2"/>
      <scheme val="minor"/>
    </font>
    <font>
      <i/>
      <sz val="11"/>
      <color theme="1"/>
      <name val="Calibri"/>
      <family val="2"/>
      <scheme val="minor"/>
    </font>
    <font>
      <b/>
      <sz val="14"/>
      <color theme="1"/>
      <name val="Calibri"/>
      <family val="2"/>
      <scheme val="minor"/>
    </font>
    <font>
      <i/>
      <sz val="11"/>
      <color rgb="FFFF0000"/>
      <name val="Century Gothic"/>
      <family val="2"/>
    </font>
    <font>
      <b/>
      <i/>
      <sz val="10"/>
      <color rgb="FFFF0000"/>
      <name val="Diodrum"/>
      <family val="3"/>
    </font>
    <font>
      <b/>
      <sz val="12"/>
      <color theme="1"/>
      <name val="Century Gothic"/>
      <family val="2"/>
    </font>
    <font>
      <b/>
      <sz val="12"/>
      <color rgb="FFFF0000"/>
      <name val="Century Gothic"/>
      <family val="2"/>
    </font>
    <font>
      <i/>
      <sz val="8"/>
      <color theme="1"/>
      <name val="Century Gothic"/>
      <family val="2"/>
    </font>
    <font>
      <u/>
      <sz val="9"/>
      <color theme="10"/>
      <name val="Century Gothic"/>
      <family val="2"/>
    </font>
    <font>
      <b/>
      <sz val="11"/>
      <name val="Arial"/>
      <family val="2"/>
    </font>
    <font>
      <sz val="10"/>
      <color rgb="FF000000"/>
      <name val="Arial"/>
      <family val="2"/>
    </font>
    <font>
      <sz val="10"/>
      <color rgb="FFFF0000"/>
      <name val="Arial"/>
      <family val="2"/>
    </font>
    <font>
      <strike/>
      <sz val="10"/>
      <color rgb="FFFF0000"/>
      <name val="Arial"/>
      <family val="2"/>
    </font>
    <font>
      <b/>
      <sz val="10"/>
      <name val="Arial"/>
      <family val="2"/>
    </font>
    <font>
      <b/>
      <sz val="10"/>
      <color rgb="FFFF0000"/>
      <name val="Arial"/>
      <family val="2"/>
    </font>
    <font>
      <b/>
      <sz val="10"/>
      <color rgb="FF008000"/>
      <name val="Arial"/>
      <family val="2"/>
    </font>
    <font>
      <strike/>
      <sz val="10"/>
      <name val="Arial"/>
      <family val="2"/>
    </font>
    <font>
      <b/>
      <sz val="12"/>
      <color rgb="FF000000"/>
      <name val="Arial"/>
      <family val="2"/>
    </font>
    <font>
      <b/>
      <sz val="11"/>
      <color rgb="FF008000"/>
      <name val="Arial"/>
      <family val="2"/>
    </font>
    <font>
      <sz val="11"/>
      <name val="Arial"/>
      <family val="2"/>
    </font>
    <font>
      <sz val="11"/>
      <color rgb="FF000000"/>
      <name val="Arial"/>
      <family val="2"/>
    </font>
    <font>
      <sz val="10"/>
      <color rgb="FF008000"/>
      <name val="Arial"/>
      <family val="2"/>
    </font>
    <font>
      <b/>
      <sz val="11"/>
      <color rgb="FF000000"/>
      <name val="Arial"/>
      <family val="2"/>
    </font>
    <font>
      <sz val="12"/>
      <color rgb="FFFF0000"/>
      <name val="Arial"/>
      <family val="2"/>
    </font>
    <font>
      <sz val="10"/>
      <name val="Arial"/>
      <family val="2"/>
    </font>
    <font>
      <sz val="11"/>
      <color rgb="FF008000"/>
      <name val="Arial"/>
      <family val="2"/>
    </font>
    <font>
      <sz val="12"/>
      <color rgb="FF000000"/>
      <name val="Arial"/>
      <family val="2"/>
    </font>
    <font>
      <sz val="11"/>
      <color rgb="FFFF0000"/>
      <name val="Arial"/>
      <family val="2"/>
    </font>
    <font>
      <b/>
      <i/>
      <sz val="10"/>
      <name val="Arial"/>
      <family val="2"/>
    </font>
    <font>
      <sz val="11"/>
      <color theme="0"/>
      <name val="Calibri"/>
      <family val="2"/>
      <scheme val="minor"/>
    </font>
    <font>
      <sz val="11"/>
      <color theme="1"/>
      <name val="Arial"/>
      <family val="2"/>
    </font>
    <font>
      <sz val="10"/>
      <color theme="1"/>
      <name val="Arial"/>
      <family val="2"/>
    </font>
    <font>
      <b/>
      <sz val="11"/>
      <color theme="1"/>
      <name val="Arial"/>
      <family val="2"/>
    </font>
    <font>
      <b/>
      <sz val="10"/>
      <color rgb="FF00B050"/>
      <name val="Century Gothic"/>
      <family val="2"/>
    </font>
    <font>
      <b/>
      <i/>
      <sz val="10"/>
      <color rgb="FF00B050"/>
      <name val="Diodrum"/>
      <family val="3"/>
    </font>
    <font>
      <sz val="10"/>
      <name val="Century Gothic"/>
      <family val="2"/>
    </font>
    <font>
      <i/>
      <sz val="10"/>
      <name val="Century Gothic"/>
      <family val="2"/>
    </font>
    <font>
      <b/>
      <sz val="11"/>
      <name val="Arial"/>
      <family val="2"/>
    </font>
    <font>
      <sz val="10"/>
      <name val="Arial"/>
      <family val="2"/>
    </font>
    <font>
      <sz val="11"/>
      <color theme="1"/>
      <name val="Arial"/>
      <family val="2"/>
    </font>
    <font>
      <sz val="10"/>
      <color theme="1"/>
      <name val="Arial"/>
      <family val="2"/>
    </font>
    <font>
      <sz val="10"/>
      <color theme="1"/>
      <name val="Century Gothic"/>
      <family val="2"/>
    </font>
    <font>
      <sz val="10"/>
      <color rgb="FFFF0000"/>
      <name val="Arial"/>
      <family val="2"/>
    </font>
    <font>
      <sz val="10"/>
      <color rgb="FF008000"/>
      <name val="Arial"/>
      <family val="2"/>
    </font>
    <font>
      <b/>
      <sz val="11"/>
      <color theme="1"/>
      <name val="Arial"/>
      <family val="2"/>
    </font>
    <font>
      <sz val="11"/>
      <name val="Arial"/>
      <family val="2"/>
    </font>
    <font>
      <sz val="8"/>
      <color rgb="FF000000"/>
      <name val="Calibri"/>
      <family val="2"/>
    </font>
    <font>
      <b/>
      <sz val="8"/>
      <color rgb="FF000000"/>
      <name val="Calibri"/>
      <family val="2"/>
    </font>
    <font>
      <sz val="10"/>
      <color rgb="FFFF0000"/>
      <name val="Calibri"/>
      <family val="2"/>
      <scheme val="minor"/>
    </font>
    <font>
      <sz val="10"/>
      <color rgb="FF008000"/>
      <name val="Calibri"/>
      <family val="2"/>
      <scheme val="minor"/>
    </font>
    <font>
      <sz val="10"/>
      <name val="Calibri"/>
      <family val="2"/>
      <scheme val="minor"/>
    </font>
    <font>
      <b/>
      <sz val="10"/>
      <name val="Calibri"/>
      <family val="2"/>
      <scheme val="minor"/>
    </font>
    <font>
      <b/>
      <sz val="10"/>
      <color theme="1"/>
      <name val="Calibri"/>
      <family val="2"/>
      <scheme val="minor"/>
    </font>
    <font>
      <sz val="10"/>
      <color theme="0"/>
      <name val="Century Gothic"/>
      <family val="2"/>
    </font>
    <font>
      <sz val="10"/>
      <color theme="0"/>
      <name val="Arial"/>
      <family val="2"/>
    </font>
  </fonts>
  <fills count="33">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0" tint="-0.34995574816125979"/>
        <bgColor indexed="64"/>
      </patternFill>
    </fill>
    <fill>
      <patternFill patternType="solid">
        <fgColor theme="0" tint="-0.49995422223578601"/>
        <bgColor indexed="64"/>
      </patternFill>
    </fill>
    <fill>
      <patternFill patternType="solid">
        <fgColor rgb="FFFFC000"/>
        <bgColor indexed="64"/>
      </patternFill>
    </fill>
    <fill>
      <patternFill patternType="solid">
        <fgColor theme="8" tint="0.59996337778862885"/>
        <bgColor indexed="64"/>
      </patternFill>
    </fill>
    <fill>
      <patternFill patternType="solid">
        <fgColor rgb="FFFFFF00"/>
        <bgColor indexed="64"/>
      </patternFill>
    </fill>
    <fill>
      <patternFill patternType="solid">
        <fgColor theme="0" tint="-0.24994659260841701"/>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B7DEE8"/>
        <bgColor rgb="FF000000"/>
      </patternFill>
    </fill>
    <fill>
      <patternFill patternType="solid">
        <fgColor rgb="FFD9D9D9"/>
        <bgColor rgb="FF000000"/>
      </patternFill>
    </fill>
    <fill>
      <patternFill patternType="solid">
        <fgColor rgb="FFDAEEF3"/>
        <bgColor rgb="FF000000"/>
      </patternFill>
    </fill>
    <fill>
      <patternFill patternType="solid">
        <fgColor rgb="FF92CDDC"/>
        <bgColor rgb="FF000000"/>
      </patternFill>
    </fill>
    <fill>
      <patternFill patternType="solid">
        <fgColor rgb="FFEBF1DE"/>
        <bgColor rgb="FF000000"/>
      </patternFill>
    </fill>
    <fill>
      <patternFill patternType="solid">
        <fgColor rgb="FFFFFFCC"/>
        <bgColor rgb="FF000000"/>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249977111117893"/>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9" fontId="29" fillId="0" borderId="0" applyFont="0" applyFill="0" applyBorder="0" applyAlignment="0" applyProtection="0"/>
    <xf numFmtId="44" fontId="29" fillId="0" borderId="0" applyFont="0" applyFill="0" applyBorder="0" applyAlignment="0" applyProtection="0"/>
    <xf numFmtId="42" fontId="1" fillId="0" borderId="0" applyFont="0" applyFill="0" applyBorder="0" applyAlignment="0" applyProtection="0"/>
    <xf numFmtId="43" fontId="29" fillId="0" borderId="0" applyFont="0" applyFill="0" applyBorder="0" applyAlignment="0" applyProtection="0"/>
    <xf numFmtId="41" fontId="1" fillId="0" borderId="0" applyFont="0" applyFill="0" applyBorder="0" applyAlignment="0" applyProtection="0"/>
    <xf numFmtId="0" fontId="14" fillId="0" borderId="0" applyNumberFormat="0" applyFill="0" applyBorder="0">
      <protection locked="0"/>
    </xf>
    <xf numFmtId="0" fontId="1" fillId="0" borderId="0"/>
    <xf numFmtId="0" fontId="29" fillId="0" borderId="0"/>
    <xf numFmtId="0" fontId="29" fillId="0" borderId="0"/>
    <xf numFmtId="43" fontId="1" fillId="0" borderId="0" applyFont="0" applyFill="0" applyBorder="0" applyAlignment="0" applyProtection="0"/>
  </cellStyleXfs>
  <cellXfs count="565">
    <xf numFmtId="0" fontId="0" fillId="0" borderId="0" xfId="0"/>
    <xf numFmtId="0" fontId="2" fillId="0" borderId="1" xfId="0" applyFont="1" applyBorder="1" applyAlignment="1">
      <alignment horizontal="left" wrapText="1"/>
    </xf>
    <xf numFmtId="0" fontId="3" fillId="2" borderId="1" xfId="0" applyFont="1" applyFill="1" applyBorder="1" applyAlignment="1">
      <alignment horizontal="left" wrapText="1"/>
    </xf>
    <xf numFmtId="0" fontId="0" fillId="0" borderId="0" xfId="0" applyAlignment="1">
      <alignment horizontal="center"/>
    </xf>
    <xf numFmtId="0" fontId="5" fillId="0" borderId="0" xfId="0" applyFont="1"/>
    <xf numFmtId="0" fontId="9" fillId="3" borderId="1" xfId="0"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xf>
    <xf numFmtId="3" fontId="5" fillId="0" borderId="1" xfId="0" applyNumberFormat="1" applyFont="1" applyBorder="1" applyAlignment="1">
      <alignment horizont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9" fillId="3" borderId="1" xfId="0" applyFont="1" applyFill="1" applyBorder="1" applyAlignment="1">
      <alignment horizontal="center" vertical="center"/>
    </xf>
    <xf numFmtId="0" fontId="0" fillId="0" borderId="0" xfId="0" applyAlignment="1">
      <alignment vertic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9" fillId="3" borderId="1"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3" borderId="1" xfId="0" applyFont="1" applyFill="1" applyBorder="1" applyAlignment="1">
      <alignment horizontal="center" vertical="center" wrapText="1"/>
    </xf>
    <xf numFmtId="0" fontId="16" fillId="0" borderId="0" xfId="0" applyFont="1"/>
    <xf numFmtId="0" fontId="11" fillId="4" borderId="1" xfId="0" applyFont="1" applyFill="1" applyBorder="1" applyAlignment="1">
      <alignment horizontal="center"/>
    </xf>
    <xf numFmtId="3" fontId="5" fillId="4" borderId="1" xfId="0" applyNumberFormat="1" applyFont="1" applyFill="1" applyBorder="1" applyAlignment="1">
      <alignment horizontal="center"/>
    </xf>
    <xf numFmtId="9" fontId="5" fillId="4" borderId="1" xfId="0" applyNumberFormat="1"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4" fontId="7" fillId="0" borderId="1" xfId="2" applyNumberFormat="1" applyFont="1" applyBorder="1"/>
    <xf numFmtId="0" fontId="7" fillId="0" borderId="1" xfId="0" applyFont="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vertical="center"/>
    </xf>
    <xf numFmtId="0" fontId="5" fillId="0" borderId="1" xfId="0" applyFont="1" applyBorder="1" applyAlignment="1">
      <alignment wrapText="1"/>
    </xf>
    <xf numFmtId="0" fontId="11" fillId="0" borderId="1" xfId="0" applyFont="1" applyBorder="1" applyAlignment="1">
      <alignment horizontal="center" vertical="center"/>
    </xf>
    <xf numFmtId="3"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vertical="center" wrapText="1"/>
    </xf>
    <xf numFmtId="0" fontId="3" fillId="2"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vertical="center"/>
    </xf>
    <xf numFmtId="164" fontId="10" fillId="5" borderId="1" xfId="2" applyNumberFormat="1" applyFont="1" applyFill="1" applyBorder="1" applyAlignment="1">
      <alignment vertical="center"/>
    </xf>
    <xf numFmtId="0" fontId="3" fillId="0" borderId="1" xfId="0" applyFont="1" applyBorder="1" applyAlignment="1">
      <alignment vertical="center" wrapText="1"/>
    </xf>
    <xf numFmtId="0" fontId="3" fillId="6" borderId="1" xfId="0" applyFont="1" applyFill="1" applyBorder="1" applyAlignment="1">
      <alignment vertical="center" wrapText="1"/>
    </xf>
    <xf numFmtId="0" fontId="19" fillId="5" borderId="1" xfId="0" applyFont="1" applyFill="1" applyBorder="1" applyAlignment="1">
      <alignment horizontal="right" wrapText="1"/>
    </xf>
    <xf numFmtId="0" fontId="5" fillId="0" borderId="1" xfId="0" applyFont="1" applyBorder="1"/>
    <xf numFmtId="0" fontId="5" fillId="8" borderId="1" xfId="0" applyFont="1" applyFill="1" applyBorder="1"/>
    <xf numFmtId="0" fontId="5" fillId="9" borderId="1" xfId="0" quotePrefix="1" applyFont="1" applyFill="1" applyBorder="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3" fontId="2" fillId="0" borderId="1" xfId="0" applyNumberFormat="1" applyFont="1" applyBorder="1" applyAlignment="1">
      <alignment horizontal="center"/>
    </xf>
    <xf numFmtId="164" fontId="10" fillId="5" borderId="1" xfId="0" applyNumberFormat="1" applyFont="1" applyFill="1" applyBorder="1" applyAlignment="1">
      <alignment vertical="center"/>
    </xf>
    <xf numFmtId="164" fontId="4" fillId="6" borderId="1" xfId="0" applyNumberFormat="1" applyFont="1" applyFill="1" applyBorder="1" applyAlignment="1">
      <alignment vertical="center"/>
    </xf>
    <xf numFmtId="164" fontId="3" fillId="0" borderId="1" xfId="0" applyNumberFormat="1" applyFont="1" applyBorder="1" applyAlignment="1">
      <alignment vertical="center"/>
    </xf>
    <xf numFmtId="3" fontId="17" fillId="5" borderId="1" xfId="0" applyNumberFormat="1" applyFont="1" applyFill="1" applyBorder="1" applyAlignment="1">
      <alignment vertical="center" wrapText="1"/>
    </xf>
    <xf numFmtId="164" fontId="11" fillId="0" borderId="1" xfId="2" applyNumberFormat="1" applyFont="1" applyFill="1" applyBorder="1" applyAlignment="1">
      <alignment horizontal="center" vertical="center"/>
    </xf>
    <xf numFmtId="164" fontId="5" fillId="0" borderId="1" xfId="2" applyNumberFormat="1" applyFont="1" applyFill="1" applyBorder="1" applyAlignment="1">
      <alignment horizontal="center" vertical="center"/>
    </xf>
    <xf numFmtId="0" fontId="15" fillId="3" borderId="13" xfId="0" applyFont="1" applyFill="1" applyBorder="1" applyAlignment="1">
      <alignment horizontal="center" vertical="center" wrapText="1"/>
    </xf>
    <xf numFmtId="9" fontId="5" fillId="0" borderId="14" xfId="0" applyNumberFormat="1" applyFont="1" applyBorder="1" applyAlignment="1">
      <alignment horizontal="center"/>
    </xf>
    <xf numFmtId="3" fontId="5" fillId="0" borderId="2" xfId="0" applyNumberFormat="1" applyFont="1" applyBorder="1" applyAlignment="1">
      <alignment horizontal="center"/>
    </xf>
    <xf numFmtId="3" fontId="5" fillId="4" borderId="2" xfId="0" applyNumberFormat="1" applyFont="1" applyFill="1" applyBorder="1" applyAlignment="1">
      <alignment horizontal="center"/>
    </xf>
    <xf numFmtId="0" fontId="7" fillId="0" borderId="2" xfId="0" applyFont="1" applyBorder="1"/>
    <xf numFmtId="0" fontId="11" fillId="8" borderId="1" xfId="0" applyFont="1" applyFill="1" applyBorder="1" applyAlignment="1">
      <alignment vertical="center"/>
    </xf>
    <xf numFmtId="0" fontId="11" fillId="9" borderId="1" xfId="0" quotePrefix="1" applyFont="1" applyFill="1" applyBorder="1" applyAlignment="1">
      <alignment vertical="center"/>
    </xf>
    <xf numFmtId="0" fontId="11" fillId="10" borderId="1" xfId="0" applyFont="1" applyFill="1" applyBorder="1" applyAlignment="1">
      <alignment vertical="center"/>
    </xf>
    <xf numFmtId="1" fontId="2" fillId="15" borderId="1" xfId="0" applyNumberFormat="1" applyFont="1" applyFill="1" applyBorder="1" applyAlignment="1">
      <alignment horizontal="center"/>
    </xf>
    <xf numFmtId="3" fontId="2" fillId="15" borderId="1" xfId="0" applyNumberFormat="1" applyFont="1" applyFill="1" applyBorder="1" applyAlignment="1">
      <alignment horizontal="center"/>
    </xf>
    <xf numFmtId="0" fontId="3" fillId="0" borderId="3" xfId="0" applyFont="1" applyBorder="1" applyAlignment="1">
      <alignment vertical="center" wrapText="1"/>
    </xf>
    <xf numFmtId="0" fontId="2" fillId="0" borderId="1" xfId="0" applyFont="1" applyBorder="1" applyAlignment="1">
      <alignment horizontal="left" vertical="center" wrapText="1"/>
    </xf>
    <xf numFmtId="0" fontId="0" fillId="13" borderId="0" xfId="0" applyFill="1"/>
    <xf numFmtId="0" fontId="20" fillId="13" borderId="0" xfId="0" applyFont="1" applyFill="1"/>
    <xf numFmtId="0" fontId="37" fillId="13" borderId="0" xfId="0" applyFont="1" applyFill="1"/>
    <xf numFmtId="166" fontId="0" fillId="13" borderId="0" xfId="0" applyNumberFormat="1" applyFill="1"/>
    <xf numFmtId="0" fontId="0" fillId="13" borderId="0" xfId="0" quotePrefix="1" applyFill="1"/>
    <xf numFmtId="0" fontId="0" fillId="13" borderId="0" xfId="0" applyFill="1" applyAlignment="1">
      <alignment vertical="center"/>
    </xf>
    <xf numFmtId="0" fontId="6" fillId="13" borderId="0" xfId="0" applyFont="1" applyFill="1" applyAlignment="1">
      <alignment vertical="center"/>
    </xf>
    <xf numFmtId="0" fontId="6" fillId="13" borderId="0" xfId="0" applyFont="1" applyFill="1"/>
    <xf numFmtId="0" fontId="12" fillId="13" borderId="0" xfId="0" applyFont="1" applyFill="1" applyAlignment="1">
      <alignment vertical="center"/>
    </xf>
    <xf numFmtId="0" fontId="13" fillId="13" borderId="0" xfId="0" applyFont="1" applyFill="1"/>
    <xf numFmtId="0" fontId="8" fillId="13" borderId="0" xfId="0" applyFont="1" applyFill="1" applyAlignment="1">
      <alignment horizontal="justify" vertical="center"/>
    </xf>
    <xf numFmtId="0" fontId="9" fillId="13" borderId="5" xfId="0" applyFont="1" applyFill="1" applyBorder="1" applyAlignment="1">
      <alignment horizontal="center" vertical="center" wrapText="1"/>
    </xf>
    <xf numFmtId="0" fontId="9" fillId="13" borderId="0" xfId="0" applyFont="1" applyFill="1" applyAlignment="1">
      <alignment horizontal="center" vertical="center" wrapText="1"/>
    </xf>
    <xf numFmtId="3" fontId="5" fillId="13" borderId="6" xfId="0" applyNumberFormat="1" applyFont="1" applyFill="1" applyBorder="1" applyAlignment="1">
      <alignment horizontal="center"/>
    </xf>
    <xf numFmtId="3" fontId="5" fillId="13" borderId="0" xfId="0" applyNumberFormat="1" applyFont="1" applyFill="1" applyAlignment="1">
      <alignment horizontal="center"/>
    </xf>
    <xf numFmtId="0" fontId="0" fillId="0" borderId="0" xfId="0" applyAlignment="1">
      <alignment vertical="top"/>
    </xf>
    <xf numFmtId="3" fontId="11" fillId="0" borderId="1" xfId="0" applyNumberFormat="1" applyFont="1" applyBorder="1" applyAlignment="1">
      <alignment horizontal="center"/>
    </xf>
    <xf numFmtId="0" fontId="2" fillId="0" borderId="16" xfId="0" applyFont="1" applyBorder="1" applyAlignment="1">
      <alignment horizontal="left" wrapText="1"/>
    </xf>
    <xf numFmtId="3" fontId="2" fillId="14" borderId="1" xfId="0" applyNumberFormat="1" applyFont="1" applyFill="1" applyBorder="1" applyAlignment="1">
      <alignment horizontal="center" vertical="center"/>
    </xf>
    <xf numFmtId="9" fontId="3" fillId="11" borderId="1" xfId="1" applyFont="1" applyFill="1" applyBorder="1" applyAlignment="1">
      <alignment horizontal="center" vertical="center"/>
    </xf>
    <xf numFmtId="9" fontId="2" fillId="14" borderId="1" xfId="1" applyFont="1" applyFill="1" applyBorder="1" applyAlignment="1">
      <alignment horizontal="center" vertical="center" wrapText="1"/>
    </xf>
    <xf numFmtId="9" fontId="2" fillId="14" borderId="1" xfId="1" applyFont="1" applyFill="1" applyBorder="1" applyAlignment="1">
      <alignment horizontal="center" vertical="center"/>
    </xf>
    <xf numFmtId="9" fontId="27" fillId="5" borderId="1" xfId="1" applyFont="1" applyFill="1" applyBorder="1" applyAlignment="1">
      <alignment horizontal="center" vertical="center"/>
    </xf>
    <xf numFmtId="9" fontId="2" fillId="14" borderId="1" xfId="1" applyFont="1" applyFill="1" applyBorder="1" applyAlignment="1">
      <alignment horizontal="center"/>
    </xf>
    <xf numFmtId="3" fontId="2" fillId="14" borderId="1" xfId="0" applyNumberFormat="1" applyFont="1" applyFill="1" applyBorder="1" applyAlignment="1">
      <alignment horizontal="center"/>
    </xf>
    <xf numFmtId="9" fontId="3" fillId="11" borderId="1" xfId="1" applyFont="1" applyFill="1" applyBorder="1" applyAlignment="1">
      <alignment horizontal="center"/>
    </xf>
    <xf numFmtId="0" fontId="23" fillId="13" borderId="0" xfId="0" applyFont="1" applyFill="1"/>
    <xf numFmtId="0" fontId="23" fillId="13" borderId="0" xfId="0" applyFont="1" applyFill="1" applyAlignment="1">
      <alignment horizontal="center"/>
    </xf>
    <xf numFmtId="0" fontId="21" fillId="13" borderId="0" xfId="0" applyFont="1" applyFill="1"/>
    <xf numFmtId="0" fontId="22" fillId="13" borderId="0" xfId="0" applyFont="1" applyFill="1"/>
    <xf numFmtId="0" fontId="7" fillId="13" borderId="0" xfId="0" applyFont="1" applyFill="1" applyAlignment="1">
      <alignment vertical="center"/>
    </xf>
    <xf numFmtId="0" fontId="7" fillId="13" borderId="0" xfId="0" applyFont="1" applyFill="1" applyAlignment="1">
      <alignment horizontal="left" vertical="center" wrapText="1"/>
    </xf>
    <xf numFmtId="0" fontId="5" fillId="13" borderId="0" xfId="0" applyFont="1" applyFill="1" applyAlignment="1">
      <alignment horizontal="center"/>
    </xf>
    <xf numFmtId="0" fontId="5" fillId="13" borderId="0" xfId="0" applyFont="1" applyFill="1"/>
    <xf numFmtId="9" fontId="5" fillId="13" borderId="0" xfId="1" applyFont="1" applyFill="1"/>
    <xf numFmtId="0" fontId="5" fillId="13" borderId="0" xfId="0" quotePrefix="1" applyFont="1" applyFill="1"/>
    <xf numFmtId="0" fontId="10" fillId="13" borderId="0" xfId="0" applyFont="1" applyFill="1"/>
    <xf numFmtId="0" fontId="7" fillId="13" borderId="0" xfId="0" applyFont="1" applyFill="1"/>
    <xf numFmtId="3" fontId="10" fillId="13" borderId="0" xfId="0" applyNumberFormat="1" applyFont="1" applyFill="1" applyAlignment="1">
      <alignment horizontal="center"/>
    </xf>
    <xf numFmtId="0" fontId="0" fillId="13" borderId="0" xfId="0" applyFill="1" applyAlignment="1">
      <alignment horizontal="center"/>
    </xf>
    <xf numFmtId="165" fontId="0" fillId="13" borderId="0" xfId="0" applyNumberFormat="1" applyFill="1"/>
    <xf numFmtId="1" fontId="10" fillId="13" borderId="0" xfId="0" applyNumberFormat="1" applyFont="1" applyFill="1" applyAlignment="1">
      <alignment horizontal="center"/>
    </xf>
    <xf numFmtId="0" fontId="10" fillId="13" borderId="0" xfId="0" applyFont="1" applyFill="1" applyAlignment="1">
      <alignment horizontal="center"/>
    </xf>
    <xf numFmtId="0" fontId="7" fillId="13" borderId="0" xfId="0" applyFont="1" applyFill="1" applyAlignment="1">
      <alignment vertical="center" wrapText="1"/>
    </xf>
    <xf numFmtId="165" fontId="0" fillId="13" borderId="0" xfId="4" applyNumberFormat="1" applyFont="1" applyFill="1"/>
    <xf numFmtId="0" fontId="6" fillId="13" borderId="0" xfId="0" applyFont="1" applyFill="1" applyAlignment="1">
      <alignment horizontal="left" vertical="center" wrapText="1"/>
    </xf>
    <xf numFmtId="0" fontId="6" fillId="13" borderId="0" xfId="0" applyFont="1" applyFill="1" applyAlignment="1">
      <alignment horizontal="left" vertical="center"/>
    </xf>
    <xf numFmtId="164" fontId="0" fillId="13" borderId="0" xfId="0" applyNumberFormat="1" applyFill="1"/>
    <xf numFmtId="0" fontId="4" fillId="13" borderId="0" xfId="0" applyFont="1" applyFill="1" applyAlignment="1">
      <alignment vertical="center" wrapText="1"/>
    </xf>
    <xf numFmtId="164" fontId="0" fillId="13" borderId="0" xfId="0" applyNumberFormat="1" applyFill="1" applyAlignment="1">
      <alignment vertical="center"/>
    </xf>
    <xf numFmtId="44" fontId="0" fillId="13" borderId="0" xfId="0" applyNumberFormat="1" applyFill="1"/>
    <xf numFmtId="9" fontId="26" fillId="13" borderId="0" xfId="1" applyFont="1" applyFill="1" applyAlignment="1">
      <alignment horizontal="center" vertical="center"/>
    </xf>
    <xf numFmtId="0" fontId="26" fillId="13" borderId="0" xfId="0" applyFont="1" applyFill="1" applyAlignment="1">
      <alignment horizontal="center" vertical="center"/>
    </xf>
    <xf numFmtId="3" fontId="0" fillId="13" borderId="0" xfId="0" applyNumberFormat="1" applyFill="1" applyAlignment="1">
      <alignment vertical="center"/>
    </xf>
    <xf numFmtId="165" fontId="0" fillId="13" borderId="0" xfId="0" applyNumberFormat="1" applyFill="1" applyAlignment="1">
      <alignment horizontal="right"/>
    </xf>
    <xf numFmtId="164" fontId="36" fillId="13" borderId="0" xfId="0" applyNumberFormat="1" applyFont="1" applyFill="1"/>
    <xf numFmtId="164" fontId="0" fillId="13" borderId="0" xfId="2" applyNumberFormat="1" applyFont="1" applyFill="1" applyBorder="1"/>
    <xf numFmtId="44" fontId="0" fillId="13" borderId="0" xfId="0" applyNumberFormat="1" applyFill="1" applyAlignment="1">
      <alignment vertical="center"/>
    </xf>
    <xf numFmtId="0" fontId="4" fillId="13" borderId="0" xfId="0" applyFont="1" applyFill="1" applyAlignment="1">
      <alignment horizontal="center" vertical="center" wrapText="1"/>
    </xf>
    <xf numFmtId="0" fontId="39" fillId="13" borderId="0" xfId="0" applyFont="1" applyFill="1" applyAlignment="1">
      <alignment horizontal="center"/>
    </xf>
    <xf numFmtId="164" fontId="11" fillId="4" borderId="1" xfId="2" applyNumberFormat="1" applyFont="1" applyFill="1" applyBorder="1" applyAlignment="1">
      <alignment horizontal="center" vertical="center"/>
    </xf>
    <xf numFmtId="164" fontId="5" fillId="0" borderId="13" xfId="2" applyNumberFormat="1" applyFont="1" applyFill="1" applyBorder="1" applyAlignment="1">
      <alignment horizontal="center" vertical="center"/>
    </xf>
    <xf numFmtId="164" fontId="11" fillId="4" borderId="13" xfId="2" applyNumberFormat="1" applyFont="1" applyFill="1" applyBorder="1" applyAlignment="1">
      <alignment horizontal="center" vertical="center"/>
    </xf>
    <xf numFmtId="164" fontId="5" fillId="0" borderId="2" xfId="2" applyNumberFormat="1" applyFont="1" applyFill="1" applyBorder="1" applyAlignment="1">
      <alignment horizontal="center" vertical="center"/>
    </xf>
    <xf numFmtId="164" fontId="11" fillId="4" borderId="2" xfId="2" applyNumberFormat="1" applyFont="1" applyFill="1" applyBorder="1" applyAlignment="1">
      <alignment horizontal="center" vertical="center"/>
    </xf>
    <xf numFmtId="164" fontId="5" fillId="0" borderId="1" xfId="2" applyNumberFormat="1" applyFont="1" applyFill="1" applyBorder="1" applyAlignment="1">
      <alignment horizontal="right" vertical="center"/>
    </xf>
    <xf numFmtId="164" fontId="5" fillId="0" borderId="1" xfId="2" applyNumberFormat="1" applyFont="1" applyFill="1" applyBorder="1" applyAlignment="1">
      <alignment horizontal="left" vertical="center"/>
    </xf>
    <xf numFmtId="9" fontId="5" fillId="0" borderId="1" xfId="1" applyFont="1" applyFill="1" applyBorder="1" applyAlignment="1">
      <alignment horizontal="center" vertical="center"/>
    </xf>
    <xf numFmtId="164" fontId="11" fillId="4" borderId="1" xfId="0" applyNumberFormat="1" applyFont="1" applyFill="1" applyBorder="1" applyAlignment="1">
      <alignment horizontal="center" vertical="center"/>
    </xf>
    <xf numFmtId="9" fontId="5" fillId="16" borderId="1" xfId="1" applyFont="1" applyFill="1" applyBorder="1" applyAlignment="1">
      <alignment horizontal="center" vertical="center"/>
    </xf>
    <xf numFmtId="3" fontId="7" fillId="13" borderId="0" xfId="0" applyNumberFormat="1" applyFont="1" applyFill="1" applyAlignment="1">
      <alignment horizontal="center"/>
    </xf>
    <xf numFmtId="1" fontId="7" fillId="13" borderId="0" xfId="0" applyNumberFormat="1" applyFont="1" applyFill="1" applyAlignment="1">
      <alignment horizontal="center"/>
    </xf>
    <xf numFmtId="0" fontId="7" fillId="13" borderId="0" xfId="0" applyFont="1" applyFill="1" applyAlignment="1">
      <alignment horizontal="center"/>
    </xf>
    <xf numFmtId="0" fontId="25" fillId="13" borderId="0" xfId="0" applyFont="1" applyFill="1"/>
    <xf numFmtId="0" fontId="12" fillId="13" borderId="0" xfId="0" applyFont="1" applyFill="1"/>
    <xf numFmtId="0" fontId="8" fillId="13" borderId="0" xfId="0" applyFont="1" applyFill="1"/>
    <xf numFmtId="0" fontId="4" fillId="13" borderId="0" xfId="0" applyFont="1" applyFill="1"/>
    <xf numFmtId="0" fontId="3" fillId="13" borderId="0" xfId="0" applyFont="1" applyFill="1"/>
    <xf numFmtId="3" fontId="18" fillId="13" borderId="0" xfId="0" applyNumberFormat="1" applyFont="1" applyFill="1"/>
    <xf numFmtId="0" fontId="25" fillId="13" borderId="0" xfId="0" applyFont="1" applyFill="1" applyAlignment="1">
      <alignment vertical="center"/>
    </xf>
    <xf numFmtId="0" fontId="6" fillId="13" borderId="0" xfId="0" applyFont="1" applyFill="1" applyAlignment="1">
      <alignment wrapText="1"/>
    </xf>
    <xf numFmtId="0" fontId="16" fillId="13" borderId="0" xfId="0" applyFont="1" applyFill="1"/>
    <xf numFmtId="0" fontId="4" fillId="13" borderId="0" xfId="0" applyFont="1" applyFill="1" applyAlignment="1">
      <alignment horizontal="left" vertical="center" wrapText="1"/>
    </xf>
    <xf numFmtId="0" fontId="3" fillId="13" borderId="0" xfId="0" applyFont="1" applyFill="1" applyAlignment="1">
      <alignment horizontal="left" wrapText="1"/>
    </xf>
    <xf numFmtId="0" fontId="4" fillId="13" borderId="0" xfId="0" applyFont="1" applyFill="1" applyAlignment="1">
      <alignment horizontal="center" wrapText="1"/>
    </xf>
    <xf numFmtId="9" fontId="18" fillId="13" borderId="0" xfId="0" applyNumberFormat="1" applyFont="1" applyFill="1" applyAlignment="1">
      <alignment horizontal="center"/>
    </xf>
    <xf numFmtId="164" fontId="3" fillId="13" borderId="0" xfId="0" applyNumberFormat="1" applyFont="1" applyFill="1"/>
    <xf numFmtId="164" fontId="4" fillId="13" borderId="0" xfId="0" applyNumberFormat="1" applyFont="1" applyFill="1"/>
    <xf numFmtId="9" fontId="4" fillId="13" borderId="0" xfId="0" applyNumberFormat="1" applyFont="1" applyFill="1" applyAlignment="1">
      <alignment horizontal="center"/>
    </xf>
    <xf numFmtId="3" fontId="0" fillId="13" borderId="0" xfId="0" applyNumberFormat="1" applyFill="1"/>
    <xf numFmtId="9" fontId="3" fillId="13" borderId="0" xfId="1" applyFont="1" applyFill="1" applyBorder="1" applyAlignment="1">
      <alignment horizontal="center"/>
    </xf>
    <xf numFmtId="10" fontId="0" fillId="13" borderId="0" xfId="0" applyNumberFormat="1" applyFill="1"/>
    <xf numFmtId="0" fontId="25" fillId="13" borderId="0" xfId="0" applyFont="1" applyFill="1" applyAlignment="1">
      <alignment horizontal="center"/>
    </xf>
    <xf numFmtId="0" fontId="28" fillId="13" borderId="0" xfId="0" applyFont="1" applyFill="1"/>
    <xf numFmtId="0" fontId="16" fillId="13" borderId="0" xfId="0" applyFont="1" applyFill="1" applyAlignment="1">
      <alignment wrapText="1"/>
    </xf>
    <xf numFmtId="0" fontId="16" fillId="13" borderId="0" xfId="0" applyFont="1" applyFill="1" applyAlignment="1">
      <alignment horizontal="center" wrapText="1"/>
    </xf>
    <xf numFmtId="10" fontId="32" fillId="13" borderId="0" xfId="0" applyNumberFormat="1" applyFont="1" applyFill="1" applyAlignment="1">
      <alignment wrapText="1"/>
    </xf>
    <xf numFmtId="0" fontId="32" fillId="13" borderId="0" xfId="0" applyFont="1" applyFill="1" applyAlignment="1">
      <alignment wrapText="1"/>
    </xf>
    <xf numFmtId="0" fontId="31" fillId="13" borderId="0" xfId="0" applyFont="1" applyFill="1"/>
    <xf numFmtId="1" fontId="0" fillId="13" borderId="0" xfId="0" applyNumberFormat="1" applyFill="1"/>
    <xf numFmtId="165" fontId="35" fillId="13" borderId="0" xfId="4" applyNumberFormat="1" applyFont="1" applyFill="1" applyBorder="1" applyAlignment="1">
      <alignment horizontal="right"/>
    </xf>
    <xf numFmtId="0" fontId="3" fillId="13" borderId="0" xfId="0" applyFont="1" applyFill="1" applyAlignment="1">
      <alignment horizontal="left" vertical="center"/>
    </xf>
    <xf numFmtId="0" fontId="0" fillId="13" borderId="0" xfId="0" applyFill="1" applyAlignment="1">
      <alignment vertical="top"/>
    </xf>
    <xf numFmtId="3" fontId="40" fillId="13" borderId="0" xfId="0" applyNumberFormat="1" applyFont="1" applyFill="1" applyAlignment="1">
      <alignment horizontal="center" vertical="center" wrapText="1"/>
    </xf>
    <xf numFmtId="10" fontId="11" fillId="8" borderId="1" xfId="0" applyNumberFormat="1" applyFont="1" applyFill="1" applyBorder="1" applyAlignment="1">
      <alignment horizontal="right" vertical="center"/>
    </xf>
    <xf numFmtId="165" fontId="11" fillId="8" borderId="1" xfId="4" applyNumberFormat="1" applyFont="1" applyFill="1" applyBorder="1" applyAlignment="1">
      <alignment horizontal="right" vertical="center"/>
    </xf>
    <xf numFmtId="165" fontId="11" fillId="9" borderId="1" xfId="0" applyNumberFormat="1" applyFont="1" applyFill="1" applyBorder="1" applyAlignment="1">
      <alignment horizontal="right" vertical="center"/>
    </xf>
    <xf numFmtId="166" fontId="11" fillId="10" borderId="1" xfId="0" applyNumberFormat="1" applyFont="1" applyFill="1" applyBorder="1" applyAlignment="1">
      <alignment horizontal="right" vertical="center"/>
    </xf>
    <xf numFmtId="10" fontId="11" fillId="9" borderId="1" xfId="0" applyNumberFormat="1" applyFont="1" applyFill="1" applyBorder="1" applyAlignment="1">
      <alignment horizontal="right" vertical="center"/>
    </xf>
    <xf numFmtId="166" fontId="11" fillId="9" borderId="1" xfId="0" applyNumberFormat="1" applyFont="1" applyFill="1" applyBorder="1" applyAlignment="1">
      <alignment horizontal="right" vertical="center"/>
    </xf>
    <xf numFmtId="165" fontId="11" fillId="10" borderId="1" xfId="0" applyNumberFormat="1" applyFont="1" applyFill="1" applyBorder="1" applyAlignment="1">
      <alignment horizontal="right" vertical="center"/>
    </xf>
    <xf numFmtId="9" fontId="12" fillId="9" borderId="1" xfId="1" applyFont="1" applyFill="1" applyBorder="1" applyAlignment="1">
      <alignment horizontal="right" vertical="center"/>
    </xf>
    <xf numFmtId="165" fontId="5" fillId="9" borderId="1" xfId="0" applyNumberFormat="1" applyFont="1" applyFill="1" applyBorder="1" applyAlignment="1">
      <alignment horizontal="right" vertical="center"/>
    </xf>
    <xf numFmtId="166" fontId="5" fillId="9" borderId="1" xfId="1" applyNumberFormat="1" applyFont="1" applyFill="1" applyBorder="1" applyAlignment="1">
      <alignment horizontal="right" vertical="center"/>
    </xf>
    <xf numFmtId="9" fontId="6" fillId="9" borderId="1" xfId="1" applyFont="1" applyFill="1" applyBorder="1" applyAlignment="1">
      <alignment horizontal="right" vertical="center"/>
    </xf>
    <xf numFmtId="9" fontId="31" fillId="13" borderId="0" xfId="1" applyFont="1" applyFill="1"/>
    <xf numFmtId="43" fontId="0" fillId="13" borderId="0" xfId="0" applyNumberFormat="1" applyFill="1" applyAlignment="1">
      <alignment vertical="center"/>
    </xf>
    <xf numFmtId="9" fontId="3" fillId="7" borderId="1" xfId="1" applyFont="1" applyFill="1" applyBorder="1" applyAlignment="1">
      <alignment horizontal="center" vertical="center"/>
    </xf>
    <xf numFmtId="0" fontId="0" fillId="13" borderId="0" xfId="0" applyFill="1" applyAlignment="1">
      <alignment horizontal="right" vertical="center"/>
    </xf>
    <xf numFmtId="0" fontId="3" fillId="7" borderId="1" xfId="0" applyFont="1" applyFill="1" applyBorder="1" applyAlignment="1">
      <alignment horizontal="right" vertical="center" wrapText="1"/>
    </xf>
    <xf numFmtId="9" fontId="0" fillId="13" borderId="0" xfId="0" applyNumberFormat="1" applyFill="1" applyAlignment="1">
      <alignment horizontal="right" vertical="center"/>
    </xf>
    <xf numFmtId="0" fontId="0" fillId="0" borderId="0" xfId="0" applyAlignment="1">
      <alignment horizontal="right" vertical="center"/>
    </xf>
    <xf numFmtId="0" fontId="2" fillId="14" borderId="1" xfId="0" applyFont="1" applyFill="1" applyBorder="1" applyAlignment="1">
      <alignment horizontal="center" wrapText="1"/>
    </xf>
    <xf numFmtId="9" fontId="3" fillId="2" borderId="1" xfId="1" applyFont="1" applyFill="1" applyBorder="1" applyAlignment="1">
      <alignment horizontal="center"/>
    </xf>
    <xf numFmtId="9" fontId="3" fillId="2" borderId="1" xfId="1" applyFont="1" applyFill="1" applyBorder="1" applyAlignment="1">
      <alignment horizontal="center" vertical="center"/>
    </xf>
    <xf numFmtId="0" fontId="19" fillId="0" borderId="1" xfId="0" applyFont="1" applyBorder="1" applyAlignment="1">
      <alignment horizontal="left" wrapText="1" indent="4"/>
    </xf>
    <xf numFmtId="3" fontId="31" fillId="13" borderId="0" xfId="0" applyNumberFormat="1" applyFont="1" applyFill="1"/>
    <xf numFmtId="9" fontId="0" fillId="13" borderId="0" xfId="1" applyFont="1" applyFill="1"/>
    <xf numFmtId="3" fontId="3" fillId="13" borderId="0" xfId="0" applyNumberFormat="1" applyFont="1" applyFill="1" applyAlignment="1">
      <alignment horizontal="left" wrapText="1"/>
    </xf>
    <xf numFmtId="3" fontId="3" fillId="13" borderId="0" xfId="0" applyNumberFormat="1" applyFont="1" applyFill="1" applyAlignment="1">
      <alignment horizontal="center" wrapText="1"/>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3" fillId="0" borderId="0" xfId="0" applyFont="1" applyAlignment="1">
      <alignment horizontal="center" vertical="center" wrapText="1"/>
    </xf>
    <xf numFmtId="3" fontId="2" fillId="14" borderId="1" xfId="0" applyNumberFormat="1" applyFont="1" applyFill="1" applyBorder="1" applyAlignment="1">
      <alignment horizontal="center" vertical="center" wrapText="1"/>
    </xf>
    <xf numFmtId="3" fontId="2" fillId="14" borderId="2"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2" fillId="14" borderId="1" xfId="4" applyNumberFormat="1" applyFont="1" applyFill="1" applyBorder="1" applyAlignment="1">
      <alignment horizontal="center" vertical="center"/>
    </xf>
    <xf numFmtId="3" fontId="2" fillId="0" borderId="1" xfId="4" applyNumberFormat="1" applyFont="1" applyFill="1" applyBorder="1" applyAlignment="1">
      <alignment horizontal="center" vertical="center"/>
    </xf>
    <xf numFmtId="0" fontId="3" fillId="0" borderId="3" xfId="0" applyFont="1" applyBorder="1" applyAlignment="1">
      <alignment horizontal="center" vertical="center" wrapText="1"/>
    </xf>
    <xf numFmtId="3" fontId="3" fillId="11" borderId="1" xfId="0" applyNumberFormat="1" applyFont="1" applyFill="1" applyBorder="1" applyAlignment="1">
      <alignment horizontal="center" vertical="center"/>
    </xf>
    <xf numFmtId="0" fontId="3" fillId="4" borderId="3" xfId="0" applyFont="1" applyFill="1" applyBorder="1" applyAlignment="1">
      <alignment horizontal="center" vertical="center"/>
    </xf>
    <xf numFmtId="3" fontId="2" fillId="0" borderId="1" xfId="4" applyNumberFormat="1" applyFont="1" applyFill="1" applyBorder="1" applyAlignment="1">
      <alignment horizontal="center"/>
    </xf>
    <xf numFmtId="3" fontId="2" fillId="14" borderId="1" xfId="4" applyNumberFormat="1" applyFont="1" applyFill="1" applyBorder="1" applyAlignment="1">
      <alignment horizontal="center"/>
    </xf>
    <xf numFmtId="3" fontId="3" fillId="11"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3" fillId="4" borderId="3" xfId="0" applyFont="1" applyFill="1" applyBorder="1" applyAlignment="1">
      <alignment horizontal="center" vertical="center" wrapText="1"/>
    </xf>
    <xf numFmtId="3" fontId="2" fillId="14" borderId="1" xfId="0" applyNumberFormat="1" applyFont="1" applyFill="1" applyBorder="1" applyAlignment="1">
      <alignment horizontal="center" wrapText="1"/>
    </xf>
    <xf numFmtId="164" fontId="2" fillId="14" borderId="4" xfId="2" applyNumberFormat="1" applyFont="1" applyFill="1" applyBorder="1" applyAlignment="1">
      <alignment vertical="center"/>
    </xf>
    <xf numFmtId="164" fontId="2" fillId="14" borderId="1" xfId="2" applyNumberFormat="1" applyFont="1" applyFill="1" applyBorder="1" applyAlignment="1">
      <alignment vertical="center"/>
    </xf>
    <xf numFmtId="164" fontId="3" fillId="2" borderId="1" xfId="2" applyNumberFormat="1" applyFont="1" applyFill="1" applyBorder="1" applyAlignment="1">
      <alignment vertical="center"/>
    </xf>
    <xf numFmtId="164" fontId="2" fillId="14" borderId="1" xfId="2" applyNumberFormat="1" applyFont="1" applyFill="1" applyBorder="1" applyAlignment="1"/>
    <xf numFmtId="164" fontId="3" fillId="2" borderId="1" xfId="2" applyNumberFormat="1" applyFont="1" applyFill="1" applyBorder="1" applyAlignment="1"/>
    <xf numFmtId="164" fontId="2" fillId="14" borderId="1" xfId="0" applyNumberFormat="1" applyFont="1" applyFill="1" applyBorder="1" applyAlignment="1">
      <alignment wrapText="1"/>
    </xf>
    <xf numFmtId="3" fontId="3" fillId="5" borderId="1" xfId="0" applyNumberFormat="1" applyFont="1" applyFill="1" applyBorder="1" applyAlignment="1">
      <alignment horizontal="center" vertical="center" wrapText="1"/>
    </xf>
    <xf numFmtId="9" fontId="3" fillId="5" borderId="1" xfId="1" applyFont="1" applyFill="1" applyBorder="1" applyAlignment="1">
      <alignment horizontal="center" vertical="center"/>
    </xf>
    <xf numFmtId="164" fontId="3" fillId="5" borderId="1" xfId="2" applyNumberFormat="1" applyFont="1" applyFill="1" applyBorder="1" applyAlignment="1">
      <alignment vertical="center"/>
    </xf>
    <xf numFmtId="0" fontId="3" fillId="4" borderId="4" xfId="0"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164" fontId="3" fillId="2" borderId="1" xfId="2" applyNumberFormat="1" applyFont="1" applyFill="1" applyBorder="1" applyAlignment="1">
      <alignment horizontal="center"/>
    </xf>
    <xf numFmtId="164" fontId="3" fillId="7" borderId="1" xfId="2" applyNumberFormat="1" applyFont="1" applyFill="1" applyBorder="1" applyAlignment="1">
      <alignment horizontal="center" vertical="center" wrapText="1"/>
    </xf>
    <xf numFmtId="9" fontId="3" fillId="0" borderId="1" xfId="1" applyFont="1" applyFill="1" applyBorder="1" applyAlignment="1">
      <alignment horizontal="center" vertical="center"/>
    </xf>
    <xf numFmtId="0" fontId="24" fillId="13" borderId="0" xfId="0" applyFont="1" applyFill="1" applyAlignment="1">
      <alignment horizontal="left" vertical="center"/>
    </xf>
    <xf numFmtId="0" fontId="24" fillId="13" borderId="0" xfId="0" applyFont="1" applyFill="1" applyAlignment="1">
      <alignment horizontal="left" vertical="top"/>
    </xf>
    <xf numFmtId="0" fontId="41" fillId="13" borderId="0" xfId="0" applyFont="1" applyFill="1" applyAlignment="1">
      <alignment horizontal="left" vertical="center"/>
    </xf>
    <xf numFmtId="0" fontId="42" fillId="13" borderId="0" xfId="0" applyFont="1" applyFill="1" applyAlignment="1">
      <alignment horizontal="left" vertical="top"/>
    </xf>
    <xf numFmtId="0" fontId="24" fillId="13" borderId="0" xfId="0" applyFont="1" applyFill="1" applyAlignment="1">
      <alignment vertical="top"/>
    </xf>
    <xf numFmtId="3" fontId="32" fillId="13" borderId="0" xfId="0" applyNumberFormat="1" applyFont="1" applyFill="1" applyAlignment="1">
      <alignment wrapText="1"/>
    </xf>
    <xf numFmtId="164" fontId="7" fillId="0" borderId="13" xfId="2" applyNumberFormat="1" applyFont="1" applyFill="1" applyBorder="1"/>
    <xf numFmtId="164" fontId="7" fillId="0" borderId="15" xfId="2" applyNumberFormat="1" applyFont="1" applyFill="1" applyBorder="1"/>
    <xf numFmtId="164" fontId="7" fillId="0" borderId="14" xfId="2" applyNumberFormat="1" applyFont="1" applyFill="1" applyBorder="1"/>
    <xf numFmtId="164" fontId="7" fillId="0" borderId="1" xfId="2" applyNumberFormat="1" applyFont="1" applyFill="1" applyBorder="1"/>
    <xf numFmtId="164" fontId="7" fillId="0" borderId="1" xfId="2" applyNumberFormat="1" applyFont="1" applyFill="1" applyBorder="1" applyAlignment="1">
      <alignment horizontal="left"/>
    </xf>
    <xf numFmtId="165" fontId="5" fillId="0" borderId="1" xfId="4" applyNumberFormat="1" applyFont="1" applyBorder="1" applyAlignment="1">
      <alignment horizontal="center" vertical="center"/>
    </xf>
    <xf numFmtId="165" fontId="5" fillId="0" borderId="1" xfId="4" applyNumberFormat="1" applyFont="1" applyBorder="1" applyAlignment="1">
      <alignment horizontal="center" vertical="center" wrapText="1"/>
    </xf>
    <xf numFmtId="0" fontId="0" fillId="13" borderId="0" xfId="0" applyFill="1" applyAlignment="1">
      <alignment horizontal="center" vertical="center" wrapText="1"/>
    </xf>
    <xf numFmtId="0" fontId="0" fillId="0" borderId="0" xfId="0" applyAlignment="1">
      <alignment horizontal="center" vertical="center" wrapText="1"/>
    </xf>
    <xf numFmtId="165" fontId="44" fillId="0" borderId="1" xfId="6" applyNumberFormat="1" applyFont="1" applyBorder="1" applyAlignment="1" applyProtection="1">
      <alignment horizontal="center" vertical="center" wrapText="1"/>
    </xf>
    <xf numFmtId="165" fontId="29" fillId="13" borderId="0" xfId="4" applyNumberFormat="1" applyFont="1" applyFill="1"/>
    <xf numFmtId="165" fontId="29" fillId="13" borderId="0" xfId="4" applyNumberFormat="1" applyFont="1" applyFill="1" applyAlignment="1">
      <alignment wrapText="1"/>
    </xf>
    <xf numFmtId="165" fontId="29" fillId="13" borderId="0" xfId="4" applyNumberFormat="1" applyFont="1" applyFill="1" applyAlignment="1">
      <alignment horizontal="right" vertical="center"/>
    </xf>
    <xf numFmtId="165" fontId="29" fillId="0" borderId="0" xfId="4" applyNumberFormat="1" applyFont="1"/>
    <xf numFmtId="3" fontId="2" fillId="0" borderId="1" xfId="0" applyNumberFormat="1" applyFont="1" applyBorder="1" applyAlignment="1">
      <alignment horizontal="center" vertical="center"/>
    </xf>
    <xf numFmtId="3" fontId="5" fillId="0" borderId="1" xfId="4" applyNumberFormat="1" applyFont="1" applyBorder="1" applyAlignment="1">
      <alignment horizontal="center" vertical="center" wrapText="1"/>
    </xf>
    <xf numFmtId="3" fontId="5" fillId="0" borderId="1" xfId="4"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3" fontId="2" fillId="10" borderId="1" xfId="4" applyNumberFormat="1" applyFont="1" applyFill="1" applyBorder="1" applyAlignment="1">
      <alignment horizontal="center" vertical="center"/>
    </xf>
    <xf numFmtId="3" fontId="2" fillId="0" borderId="1" xfId="0" applyNumberFormat="1" applyFont="1" applyBorder="1" applyAlignment="1">
      <alignment horizontal="center" wrapText="1"/>
    </xf>
    <xf numFmtId="0" fontId="45" fillId="17" borderId="1" xfId="0" applyFont="1" applyFill="1" applyBorder="1" applyAlignment="1">
      <alignment horizontal="center" vertical="center" wrapText="1"/>
    </xf>
    <xf numFmtId="0" fontId="46" fillId="0" borderId="0" xfId="0" applyFont="1" applyAlignment="1">
      <alignment vertical="center"/>
    </xf>
    <xf numFmtId="0" fontId="1" fillId="0" borderId="0" xfId="0" applyFont="1" applyAlignment="1">
      <alignment horizontal="left" vertical="center" wrapText="1"/>
    </xf>
    <xf numFmtId="0" fontId="1" fillId="18" borderId="0" xfId="0" applyFont="1" applyFill="1" applyAlignment="1">
      <alignment horizontal="center" vertical="center"/>
    </xf>
    <xf numFmtId="0" fontId="48" fillId="0" borderId="0" xfId="0" applyFont="1" applyAlignment="1">
      <alignment horizontal="left" vertical="center" wrapText="1"/>
    </xf>
    <xf numFmtId="0" fontId="49" fillId="18" borderId="0" xfId="0" applyFont="1" applyFill="1" applyAlignment="1">
      <alignment vertical="center" wrapText="1"/>
    </xf>
    <xf numFmtId="0" fontId="50" fillId="18" borderId="0" xfId="0" applyFont="1" applyFill="1" applyAlignment="1">
      <alignment vertical="center" wrapText="1"/>
    </xf>
    <xf numFmtId="0" fontId="51" fillId="18" borderId="0" xfId="0" applyFont="1" applyFill="1" applyAlignment="1">
      <alignment vertical="center" wrapText="1"/>
    </xf>
    <xf numFmtId="0" fontId="49" fillId="19" borderId="0" xfId="0" applyFont="1" applyFill="1" applyAlignment="1">
      <alignment horizontal="left" vertical="center" wrapText="1"/>
    </xf>
    <xf numFmtId="0" fontId="52" fillId="0" borderId="0" xfId="0" applyFont="1" applyAlignment="1">
      <alignment horizontal="left" vertical="center" wrapText="1"/>
    </xf>
    <xf numFmtId="0" fontId="53" fillId="20" borderId="0" xfId="0" applyFont="1" applyFill="1" applyAlignment="1">
      <alignment vertical="center"/>
    </xf>
    <xf numFmtId="0" fontId="1" fillId="18" borderId="0" xfId="0" applyFont="1" applyFill="1" applyAlignment="1">
      <alignment vertical="center"/>
    </xf>
    <xf numFmtId="0" fontId="1" fillId="18" borderId="0" xfId="0" applyFont="1" applyFill="1" applyAlignment="1">
      <alignment vertical="center" wrapText="1"/>
    </xf>
    <xf numFmtId="0" fontId="54" fillId="19" borderId="0" xfId="0" applyFont="1" applyFill="1" applyAlignment="1">
      <alignment horizontal="left" vertical="center" wrapText="1"/>
    </xf>
    <xf numFmtId="0" fontId="55" fillId="0" borderId="0" xfId="0" applyFont="1" applyAlignment="1">
      <alignment horizontal="left" vertical="center" wrapText="1"/>
    </xf>
    <xf numFmtId="0" fontId="46" fillId="17" borderId="0" xfId="0" applyFont="1" applyFill="1" applyAlignment="1">
      <alignment vertical="center" wrapText="1"/>
    </xf>
    <xf numFmtId="3" fontId="0" fillId="0" borderId="0" xfId="0" applyNumberFormat="1"/>
    <xf numFmtId="3" fontId="1" fillId="0" borderId="0" xfId="0" applyNumberFormat="1" applyFont="1" applyAlignment="1">
      <alignment vertical="center"/>
    </xf>
    <xf numFmtId="3" fontId="56" fillId="0" borderId="0" xfId="0" applyNumberFormat="1" applyFont="1" applyAlignment="1">
      <alignment vertical="center"/>
    </xf>
    <xf numFmtId="0" fontId="1" fillId="0" borderId="0" xfId="0" applyFont="1" applyAlignment="1">
      <alignment vertical="center"/>
    </xf>
    <xf numFmtId="3" fontId="1" fillId="18" borderId="0" xfId="0" applyNumberFormat="1" applyFont="1" applyFill="1" applyAlignment="1">
      <alignment vertical="center"/>
    </xf>
    <xf numFmtId="3" fontId="46" fillId="0" borderId="0" xfId="0" applyNumberFormat="1" applyFont="1" applyAlignment="1">
      <alignment vertical="center"/>
    </xf>
    <xf numFmtId="0" fontId="47" fillId="18" borderId="0" xfId="0" applyFont="1" applyFill="1" applyAlignment="1">
      <alignment vertical="center"/>
    </xf>
    <xf numFmtId="3" fontId="57" fillId="18" borderId="0" xfId="0" applyNumberFormat="1" applyFont="1" applyFill="1" applyAlignment="1">
      <alignment vertical="center"/>
    </xf>
    <xf numFmtId="3" fontId="56" fillId="19" borderId="0" xfId="0" applyNumberFormat="1" applyFont="1" applyFill="1" applyAlignment="1">
      <alignment vertical="center"/>
    </xf>
    <xf numFmtId="0" fontId="56" fillId="0" borderId="0" xfId="0" applyFont="1" applyAlignment="1">
      <alignment vertical="center"/>
    </xf>
    <xf numFmtId="3" fontId="56" fillId="20" borderId="0" xfId="0" applyNumberFormat="1" applyFont="1" applyFill="1" applyAlignment="1">
      <alignment vertical="center"/>
    </xf>
    <xf numFmtId="3" fontId="57" fillId="0" borderId="0" xfId="0" applyNumberFormat="1" applyFont="1" applyAlignment="1">
      <alignment vertical="center"/>
    </xf>
    <xf numFmtId="3" fontId="58" fillId="20" borderId="3" xfId="0" applyNumberFormat="1" applyFont="1" applyFill="1" applyBorder="1" applyAlignment="1">
      <alignment vertical="center"/>
    </xf>
    <xf numFmtId="0" fontId="55" fillId="17" borderId="0" xfId="0" applyFont="1" applyFill="1" applyAlignment="1">
      <alignment vertical="center"/>
    </xf>
    <xf numFmtId="3" fontId="45" fillId="20" borderId="3" xfId="0" applyNumberFormat="1" applyFont="1" applyFill="1" applyBorder="1" applyAlignment="1">
      <alignment vertical="center"/>
    </xf>
    <xf numFmtId="165" fontId="29" fillId="13" borderId="1" xfId="4" applyNumberFormat="1" applyFont="1" applyFill="1" applyBorder="1" applyAlignment="1"/>
    <xf numFmtId="0" fontId="0" fillId="13" borderId="1" xfId="0" applyFill="1" applyBorder="1" applyAlignment="1">
      <alignment horizontal="right" vertical="center"/>
    </xf>
    <xf numFmtId="0" fontId="19" fillId="5" borderId="4" xfId="0" applyFont="1" applyFill="1" applyBorder="1" applyAlignment="1">
      <alignment horizontal="right" wrapText="1"/>
    </xf>
    <xf numFmtId="165" fontId="29" fillId="13" borderId="13" xfId="4" applyNumberFormat="1" applyFont="1" applyFill="1" applyBorder="1" applyAlignment="1"/>
    <xf numFmtId="165" fontId="29" fillId="13" borderId="14" xfId="4" applyNumberFormat="1" applyFont="1" applyFill="1" applyBorder="1" applyAlignment="1"/>
    <xf numFmtId="3" fontId="2" fillId="14" borderId="4" xfId="0" applyNumberFormat="1" applyFont="1" applyFill="1" applyBorder="1" applyAlignment="1">
      <alignment horizontal="center" vertical="center" wrapText="1"/>
    </xf>
    <xf numFmtId="0" fontId="3" fillId="4" borderId="1" xfId="0" applyFont="1" applyFill="1" applyBorder="1" applyAlignment="1">
      <alignment vertical="center" wrapText="1"/>
    </xf>
    <xf numFmtId="3" fontId="3" fillId="5"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xf>
    <xf numFmtId="0" fontId="3" fillId="4" borderId="1" xfId="0" applyFont="1" applyFill="1" applyBorder="1" applyAlignment="1">
      <alignment vertical="center"/>
    </xf>
    <xf numFmtId="164" fontId="2" fillId="13" borderId="1" xfId="2" applyNumberFormat="1" applyFont="1" applyFill="1" applyBorder="1" applyAlignment="1">
      <alignment vertical="center"/>
    </xf>
    <xf numFmtId="0" fontId="2" fillId="13" borderId="1" xfId="0" applyFont="1" applyFill="1" applyBorder="1" applyAlignment="1">
      <alignment horizontal="center" wrapText="1"/>
    </xf>
    <xf numFmtId="3" fontId="2" fillId="13" borderId="1" xfId="0" applyNumberFormat="1" applyFont="1" applyFill="1" applyBorder="1" applyAlignment="1">
      <alignment horizontal="center" vertical="center"/>
    </xf>
    <xf numFmtId="3" fontId="2" fillId="13" borderId="1" xfId="0" applyNumberFormat="1" applyFont="1" applyFill="1" applyBorder="1" applyAlignment="1">
      <alignment horizontal="center" wrapText="1"/>
    </xf>
    <xf numFmtId="3" fontId="2" fillId="13" borderId="1" xfId="4" applyNumberFormat="1" applyFont="1" applyFill="1" applyBorder="1" applyAlignment="1">
      <alignment horizontal="center" vertical="center"/>
    </xf>
    <xf numFmtId="0" fontId="0" fillId="13" borderId="1" xfId="0" applyFill="1" applyBorder="1" applyAlignment="1">
      <alignment horizontal="left" vertical="center"/>
    </xf>
    <xf numFmtId="43" fontId="0" fillId="13" borderId="0" xfId="4" applyFont="1" applyFill="1"/>
    <xf numFmtId="0" fontId="2" fillId="10" borderId="1" xfId="0" applyFont="1" applyFill="1" applyBorder="1" applyAlignment="1">
      <alignment horizontal="left" wrapText="1"/>
    </xf>
    <xf numFmtId="0" fontId="7" fillId="13" borderId="0" xfId="0" applyFont="1" applyFill="1" applyAlignment="1">
      <alignment horizontal="center" vertical="center" wrapText="1"/>
    </xf>
    <xf numFmtId="0" fontId="24" fillId="13" borderId="0" xfId="0" applyFont="1" applyFill="1" applyAlignment="1">
      <alignment horizontal="center" vertical="center"/>
    </xf>
    <xf numFmtId="0" fontId="9" fillId="13" borderId="0" xfId="0" applyFont="1" applyFill="1" applyAlignment="1">
      <alignment horizontal="center" vertical="center"/>
    </xf>
    <xf numFmtId="164" fontId="2" fillId="14" borderId="4" xfId="2" applyNumberFormat="1" applyFont="1" applyFill="1" applyBorder="1" applyAlignment="1">
      <alignment horizontal="center" vertical="center"/>
    </xf>
    <xf numFmtId="164" fontId="2" fillId="14" borderId="1" xfId="2" applyNumberFormat="1" applyFont="1" applyFill="1" applyBorder="1" applyAlignment="1">
      <alignment horizontal="center" vertical="center"/>
    </xf>
    <xf numFmtId="164" fontId="3" fillId="2" borderId="1" xfId="2" applyNumberFormat="1" applyFont="1" applyFill="1" applyBorder="1" applyAlignment="1">
      <alignment horizontal="center" vertical="center"/>
    </xf>
    <xf numFmtId="164" fontId="2" fillId="13" borderId="1" xfId="2" applyNumberFormat="1" applyFont="1" applyFill="1" applyBorder="1" applyAlignment="1">
      <alignment horizontal="center" vertical="center"/>
    </xf>
    <xf numFmtId="164" fontId="3" fillId="5" borderId="1" xfId="2" applyNumberFormat="1" applyFont="1" applyFill="1" applyBorder="1" applyAlignment="1">
      <alignment horizontal="center" vertical="center"/>
    </xf>
    <xf numFmtId="164" fontId="3" fillId="13" borderId="0" xfId="0" applyNumberFormat="1" applyFont="1" applyFill="1" applyAlignment="1">
      <alignment horizontal="center"/>
    </xf>
    <xf numFmtId="164" fontId="18" fillId="13" borderId="0" xfId="0" applyNumberFormat="1" applyFont="1" applyFill="1" applyAlignment="1">
      <alignment horizontal="center"/>
    </xf>
    <xf numFmtId="0" fontId="56" fillId="0" borderId="0" xfId="0" applyFont="1" applyAlignment="1">
      <alignment horizontal="center" vertical="center"/>
    </xf>
    <xf numFmtId="0" fontId="49" fillId="18" borderId="0" xfId="0" applyFont="1" applyFill="1" applyAlignment="1">
      <alignment horizontal="left" vertical="center"/>
    </xf>
    <xf numFmtId="0" fontId="45" fillId="19" borderId="0" xfId="0" applyFont="1" applyFill="1" applyAlignment="1">
      <alignment horizontal="left" vertical="center" wrapText="1"/>
    </xf>
    <xf numFmtId="0" fontId="54" fillId="19" borderId="0" xfId="0" applyFont="1" applyFill="1" applyAlignment="1">
      <alignment vertical="center" wrapText="1"/>
    </xf>
    <xf numFmtId="0" fontId="59" fillId="17" borderId="0" xfId="0" applyFont="1" applyFill="1" applyAlignment="1">
      <alignment vertical="center" wrapText="1"/>
    </xf>
    <xf numFmtId="3" fontId="46" fillId="18" borderId="0" xfId="0" applyNumberFormat="1" applyFont="1" applyFill="1" applyAlignment="1">
      <alignment vertical="center"/>
    </xf>
    <xf numFmtId="0" fontId="46" fillId="18" borderId="0" xfId="0" applyFont="1" applyFill="1" applyAlignment="1">
      <alignment vertical="center"/>
    </xf>
    <xf numFmtId="3" fontId="55" fillId="19" borderId="0" xfId="0" applyNumberFormat="1" applyFont="1" applyFill="1" applyAlignment="1">
      <alignment vertical="center"/>
    </xf>
    <xf numFmtId="3" fontId="61" fillId="19" borderId="0" xfId="0" applyNumberFormat="1" applyFont="1" applyFill="1" applyAlignment="1">
      <alignment vertical="center"/>
    </xf>
    <xf numFmtId="3" fontId="45" fillId="20" borderId="0" xfId="0" applyNumberFormat="1" applyFont="1" applyFill="1" applyAlignment="1">
      <alignment vertical="center"/>
    </xf>
    <xf numFmtId="0" fontId="60" fillId="0" borderId="0" xfId="0" applyFont="1"/>
    <xf numFmtId="3" fontId="60" fillId="18" borderId="0" xfId="0" applyNumberFormat="1" applyFont="1" applyFill="1" applyAlignment="1">
      <alignment vertical="center"/>
    </xf>
    <xf numFmtId="0" fontId="1" fillId="0" borderId="0" xfId="0" applyFont="1" applyAlignment="1">
      <alignment horizontal="center" vertical="center" wrapText="1"/>
    </xf>
    <xf numFmtId="0" fontId="49" fillId="18" borderId="0" xfId="0" applyFont="1" applyFill="1" applyAlignment="1">
      <alignment horizontal="center" vertical="center"/>
    </xf>
    <xf numFmtId="0" fontId="60" fillId="18" borderId="0" xfId="0" applyFont="1" applyFill="1" applyAlignment="1">
      <alignment horizontal="left" vertical="center"/>
    </xf>
    <xf numFmtId="0" fontId="60" fillId="18" borderId="0" xfId="0" applyFont="1" applyFill="1" applyAlignment="1">
      <alignment horizontal="center" vertical="center"/>
    </xf>
    <xf numFmtId="0" fontId="60" fillId="0" borderId="0" xfId="0" applyFont="1" applyAlignment="1">
      <alignment vertical="center"/>
    </xf>
    <xf numFmtId="0" fontId="60" fillId="0" borderId="0" xfId="0" applyFont="1" applyAlignment="1">
      <alignment horizontal="left" vertical="center" wrapText="1"/>
    </xf>
    <xf numFmtId="0" fontId="60" fillId="0" borderId="0" xfId="0" applyFont="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vertical="center"/>
    </xf>
    <xf numFmtId="0" fontId="47" fillId="18" borderId="0" xfId="0" applyFont="1" applyFill="1" applyAlignment="1">
      <alignment horizontal="center" vertical="center"/>
    </xf>
    <xf numFmtId="0" fontId="50" fillId="18" borderId="0" xfId="0" applyFont="1" applyFill="1" applyAlignment="1">
      <alignment horizontal="center" vertical="center"/>
    </xf>
    <xf numFmtId="0" fontId="47" fillId="18" borderId="0" xfId="0" applyFont="1" applyFill="1" applyAlignment="1">
      <alignment vertical="center" wrapText="1"/>
    </xf>
    <xf numFmtId="0" fontId="57" fillId="18" borderId="0" xfId="0" applyFont="1" applyFill="1" applyAlignment="1">
      <alignment horizontal="center" vertical="center"/>
    </xf>
    <xf numFmtId="0" fontId="51" fillId="18" borderId="0" xfId="0" applyFont="1" applyFill="1" applyAlignment="1">
      <alignment horizontal="center" vertical="center"/>
    </xf>
    <xf numFmtId="0" fontId="57" fillId="18" borderId="0" xfId="0" applyFont="1" applyFill="1" applyAlignment="1">
      <alignment vertical="center" wrapText="1"/>
    </xf>
    <xf numFmtId="0" fontId="45" fillId="19" borderId="0" xfId="0" applyFont="1" applyFill="1" applyAlignment="1">
      <alignment horizontal="center" vertical="center"/>
    </xf>
    <xf numFmtId="0" fontId="55" fillId="19" borderId="0" xfId="0" applyFont="1" applyFill="1" applyAlignment="1">
      <alignment horizontal="center" vertical="center"/>
    </xf>
    <xf numFmtId="0" fontId="1" fillId="19" borderId="0" xfId="0" applyFont="1" applyFill="1" applyAlignment="1">
      <alignment vertical="center"/>
    </xf>
    <xf numFmtId="0" fontId="52" fillId="0" borderId="0" xfId="0" applyFont="1" applyAlignment="1">
      <alignment vertical="center"/>
    </xf>
    <xf numFmtId="0" fontId="53" fillId="20" borderId="0" xfId="0" applyFont="1" applyFill="1" applyAlignment="1">
      <alignment horizontal="center" vertical="center"/>
    </xf>
    <xf numFmtId="0" fontId="25" fillId="0" borderId="0" xfId="0" applyFont="1" applyAlignment="1">
      <alignment vertical="top"/>
    </xf>
    <xf numFmtId="0" fontId="54" fillId="19" borderId="0" xfId="0" applyFont="1" applyFill="1" applyAlignment="1">
      <alignment horizontal="center" vertical="center"/>
    </xf>
    <xf numFmtId="0" fontId="61" fillId="19" borderId="0" xfId="0" applyFont="1" applyFill="1" applyAlignment="1">
      <alignment vertical="center"/>
    </xf>
    <xf numFmtId="0" fontId="62" fillId="20" borderId="0" xfId="0" applyFont="1" applyFill="1" applyAlignment="1">
      <alignment vertical="center"/>
    </xf>
    <xf numFmtId="0" fontId="55" fillId="0" borderId="0" xfId="0" applyFont="1" applyAlignment="1">
      <alignment horizontal="left" vertical="center"/>
    </xf>
    <xf numFmtId="0" fontId="55" fillId="0" borderId="0" xfId="0" applyFont="1" applyAlignment="1">
      <alignment vertical="center"/>
    </xf>
    <xf numFmtId="0" fontId="63" fillId="17" borderId="0" xfId="0" applyFont="1" applyFill="1" applyAlignment="1">
      <alignment horizontal="center" vertical="center"/>
    </xf>
    <xf numFmtId="0" fontId="59" fillId="17" borderId="0" xfId="0" applyFont="1" applyFill="1" applyAlignment="1">
      <alignment horizontal="center" vertical="center"/>
    </xf>
    <xf numFmtId="0" fontId="46" fillId="17" borderId="0" xfId="0" applyFont="1" applyFill="1" applyAlignment="1">
      <alignment vertical="center"/>
    </xf>
    <xf numFmtId="3" fontId="60" fillId="0" borderId="0" xfId="0" applyNumberFormat="1" applyFont="1" applyAlignment="1">
      <alignment vertical="center"/>
    </xf>
    <xf numFmtId="0" fontId="64" fillId="21" borderId="18" xfId="0" applyFont="1" applyFill="1" applyBorder="1" applyAlignment="1">
      <alignment vertical="center"/>
    </xf>
    <xf numFmtId="0" fontId="45" fillId="22" borderId="18" xfId="0" applyFont="1" applyFill="1" applyBorder="1" applyAlignment="1">
      <alignment vertical="center"/>
    </xf>
    <xf numFmtId="0" fontId="45" fillId="18" borderId="17" xfId="0" applyFont="1" applyFill="1" applyBorder="1" applyAlignment="1">
      <alignment vertical="center" wrapText="1"/>
    </xf>
    <xf numFmtId="0" fontId="45" fillId="17" borderId="2" xfId="0" applyFont="1" applyFill="1" applyBorder="1" applyAlignment="1">
      <alignment horizontal="center" vertical="center" wrapText="1"/>
    </xf>
    <xf numFmtId="0" fontId="45" fillId="21" borderId="19" xfId="0" applyFont="1" applyFill="1" applyBorder="1" applyAlignment="1">
      <alignment horizontal="center" vertical="center" wrapText="1"/>
    </xf>
    <xf numFmtId="0" fontId="49" fillId="0" borderId="18" xfId="0" applyFont="1" applyBorder="1" applyAlignment="1">
      <alignment horizontal="center" vertical="center" wrapText="1"/>
    </xf>
    <xf numFmtId="165" fontId="29" fillId="0" borderId="1" xfId="4" applyNumberFormat="1" applyFont="1" applyFill="1" applyBorder="1" applyAlignment="1"/>
    <xf numFmtId="165" fontId="29" fillId="8" borderId="1" xfId="4" applyNumberFormat="1" applyFont="1" applyFill="1" applyBorder="1" applyAlignment="1">
      <alignment wrapText="1"/>
    </xf>
    <xf numFmtId="165" fontId="29" fillId="10" borderId="0" xfId="4" applyNumberFormat="1" applyFont="1" applyFill="1" applyBorder="1" applyAlignment="1">
      <alignment wrapText="1"/>
    </xf>
    <xf numFmtId="0" fontId="0" fillId="0" borderId="12" xfId="0" applyBorder="1"/>
    <xf numFmtId="0" fontId="0" fillId="14" borderId="10" xfId="0" applyFill="1" applyBorder="1"/>
    <xf numFmtId="0" fontId="0" fillId="23" borderId="10" xfId="0" applyFill="1" applyBorder="1"/>
    <xf numFmtId="0" fontId="0" fillId="8" borderId="0" xfId="0" applyFill="1" applyAlignment="1">
      <alignment wrapText="1"/>
    </xf>
    <xf numFmtId="0" fontId="0" fillId="0" borderId="10" xfId="0" applyBorder="1"/>
    <xf numFmtId="0" fontId="0" fillId="24" borderId="10" xfId="0" applyFill="1" applyBorder="1"/>
    <xf numFmtId="0" fontId="0" fillId="25" borderId="10" xfId="0" applyFill="1" applyBorder="1"/>
    <xf numFmtId="165" fontId="0" fillId="0" borderId="0" xfId="4" applyNumberFormat="1" applyFont="1"/>
    <xf numFmtId="0" fontId="0" fillId="26" borderId="0" xfId="0" applyFill="1" applyAlignment="1">
      <alignment horizontal="center" vertical="center"/>
    </xf>
    <xf numFmtId="0" fontId="0" fillId="26" borderId="13" xfId="0" applyFill="1" applyBorder="1" applyAlignment="1">
      <alignment horizontal="right" vertical="center"/>
    </xf>
    <xf numFmtId="0" fontId="0" fillId="26" borderId="7" xfId="0" applyFill="1" applyBorder="1" applyAlignment="1">
      <alignment horizontal="right" vertical="center"/>
    </xf>
    <xf numFmtId="0" fontId="0" fillId="26" borderId="16" xfId="0" applyFill="1" applyBorder="1" applyAlignment="1">
      <alignment horizontal="right" vertical="center"/>
    </xf>
    <xf numFmtId="0" fontId="0" fillId="26" borderId="0" xfId="0" applyFill="1" applyAlignment="1">
      <alignment horizontal="right" vertical="center"/>
    </xf>
    <xf numFmtId="165" fontId="29" fillId="26" borderId="16" xfId="4" applyNumberFormat="1" applyFont="1" applyFill="1" applyBorder="1" applyAlignment="1"/>
    <xf numFmtId="165" fontId="29" fillId="26" borderId="0" xfId="4" applyNumberFormat="1" applyFont="1" applyFill="1" applyBorder="1" applyAlignment="1"/>
    <xf numFmtId="0" fontId="0" fillId="26" borderId="14" xfId="0" applyFill="1" applyBorder="1" applyAlignment="1">
      <alignment horizontal="right" vertical="center"/>
    </xf>
    <xf numFmtId="0" fontId="0" fillId="26" borderId="10" xfId="0" applyFill="1" applyBorder="1" applyAlignment="1">
      <alignment horizontal="right" vertical="center"/>
    </xf>
    <xf numFmtId="165" fontId="29" fillId="26" borderId="0" xfId="4" applyNumberFormat="1" applyFont="1" applyFill="1" applyAlignment="1"/>
    <xf numFmtId="0" fontId="0" fillId="26" borderId="8" xfId="0" applyFill="1" applyBorder="1" applyAlignment="1">
      <alignment horizontal="right" vertical="center"/>
    </xf>
    <xf numFmtId="0" fontId="0" fillId="26" borderId="11" xfId="0" applyFill="1" applyBorder="1" applyAlignment="1">
      <alignment horizontal="right" vertical="center"/>
    </xf>
    <xf numFmtId="0" fontId="0" fillId="26" borderId="1" xfId="0" applyFill="1" applyBorder="1" applyAlignment="1">
      <alignment horizontal="right" vertical="center"/>
    </xf>
    <xf numFmtId="0" fontId="0" fillId="13" borderId="0" xfId="0" applyFill="1" applyAlignment="1">
      <alignment horizontal="left" vertical="center"/>
    </xf>
    <xf numFmtId="165" fontId="29" fillId="26" borderId="1" xfId="4" applyNumberFormat="1" applyFont="1" applyFill="1" applyBorder="1" applyAlignment="1"/>
    <xf numFmtId="165" fontId="29" fillId="13" borderId="4" xfId="4" applyNumberFormat="1" applyFont="1" applyFill="1" applyBorder="1" applyAlignment="1"/>
    <xf numFmtId="165" fontId="29" fillId="26" borderId="13" xfId="4" applyNumberFormat="1" applyFont="1" applyFill="1" applyBorder="1" applyAlignment="1"/>
    <xf numFmtId="0" fontId="0" fillId="0" borderId="0" xfId="0" applyAlignment="1"/>
    <xf numFmtId="0" fontId="0" fillId="13" borderId="0" xfId="0" applyFill="1" applyAlignment="1"/>
    <xf numFmtId="0" fontId="0" fillId="0" borderId="1" xfId="0" applyBorder="1" applyAlignment="1"/>
    <xf numFmtId="165" fontId="29" fillId="8" borderId="1" xfId="4" applyNumberFormat="1" applyFont="1" applyFill="1" applyBorder="1" applyAlignment="1"/>
    <xf numFmtId="0" fontId="0" fillId="26" borderId="1" xfId="0" applyFill="1" applyBorder="1" applyAlignment="1"/>
    <xf numFmtId="165" fontId="29" fillId="8" borderId="14" xfId="4" applyNumberFormat="1" applyFont="1" applyFill="1" applyBorder="1" applyAlignment="1"/>
    <xf numFmtId="0" fontId="0" fillId="0" borderId="0" xfId="0" applyBorder="1"/>
    <xf numFmtId="17" fontId="45" fillId="26" borderId="20" xfId="0" quotePrefix="1" applyNumberFormat="1" applyFont="1" applyFill="1" applyBorder="1" applyAlignment="1">
      <alignment horizontal="center" vertical="center" wrapText="1"/>
    </xf>
    <xf numFmtId="167" fontId="66" fillId="0" borderId="0" xfId="8" applyNumberFormat="1" applyFont="1" applyAlignment="1">
      <alignment vertical="center"/>
    </xf>
    <xf numFmtId="167" fontId="0" fillId="26" borderId="0" xfId="0" applyNumberFormat="1" applyFill="1" applyAlignment="1">
      <alignment vertical="center"/>
    </xf>
    <xf numFmtId="167" fontId="67" fillId="0" borderId="0" xfId="8" applyNumberFormat="1" applyFont="1" applyAlignment="1">
      <alignment vertical="center"/>
    </xf>
    <xf numFmtId="167" fontId="67" fillId="27" borderId="0" xfId="8" applyNumberFormat="1" applyFont="1" applyFill="1" applyAlignment="1">
      <alignment vertical="center"/>
    </xf>
    <xf numFmtId="167" fontId="1" fillId="26" borderId="0" xfId="0" applyNumberFormat="1" applyFont="1" applyFill="1" applyAlignment="1">
      <alignment vertical="center"/>
    </xf>
    <xf numFmtId="167" fontId="47" fillId="26" borderId="0" xfId="0" applyNumberFormat="1" applyFont="1" applyFill="1" applyAlignment="1">
      <alignment vertical="center"/>
    </xf>
    <xf numFmtId="167" fontId="57" fillId="26" borderId="0" xfId="0" applyNumberFormat="1" applyFont="1" applyFill="1" applyAlignment="1">
      <alignment vertical="center"/>
    </xf>
    <xf numFmtId="167" fontId="1" fillId="0" borderId="0" xfId="0" applyNumberFormat="1" applyFont="1" applyAlignment="1">
      <alignment vertical="center"/>
    </xf>
    <xf numFmtId="167" fontId="0" fillId="0" borderId="0" xfId="0" applyNumberFormat="1" applyAlignment="1">
      <alignment vertical="center"/>
    </xf>
    <xf numFmtId="167" fontId="66" fillId="28" borderId="0" xfId="8" applyNumberFormat="1" applyFont="1" applyFill="1" applyAlignment="1">
      <alignment vertical="center"/>
    </xf>
    <xf numFmtId="167" fontId="66" fillId="29" borderId="0" xfId="8" applyNumberFormat="1" applyFont="1" applyFill="1" applyAlignment="1">
      <alignment vertical="center"/>
    </xf>
    <xf numFmtId="41" fontId="1" fillId="0" borderId="0" xfId="8" applyNumberFormat="1" applyFont="1" applyAlignment="1">
      <alignment vertical="center"/>
    </xf>
    <xf numFmtId="41" fontId="57" fillId="0" borderId="0" xfId="8" applyNumberFormat="1" applyFont="1" applyAlignment="1">
      <alignment vertical="center"/>
    </xf>
    <xf numFmtId="167" fontId="68" fillId="29" borderId="3" xfId="8" applyNumberFormat="1" applyFont="1" applyFill="1" applyBorder="1" applyAlignment="1">
      <alignment vertical="center"/>
    </xf>
    <xf numFmtId="167" fontId="55" fillId="30" borderId="0" xfId="10" applyNumberFormat="1" applyFont="1" applyFill="1" applyBorder="1" applyAlignment="1" applyProtection="1">
      <alignment vertical="center"/>
    </xf>
    <xf numFmtId="167" fontId="45" fillId="29" borderId="3" xfId="10" applyNumberFormat="1" applyFont="1" applyFill="1" applyBorder="1" applyAlignment="1" applyProtection="1">
      <alignment vertical="center"/>
    </xf>
    <xf numFmtId="167" fontId="66" fillId="28" borderId="0" xfId="10" applyNumberFormat="1" applyFont="1" applyFill="1" applyAlignment="1" applyProtection="1">
      <alignment vertical="center"/>
    </xf>
    <xf numFmtId="3" fontId="18" fillId="13" borderId="0" xfId="0" applyNumberFormat="1" applyFont="1" applyFill="1" applyAlignment="1">
      <alignment horizontal="left" wrapText="1"/>
    </xf>
    <xf numFmtId="0" fontId="0" fillId="0" borderId="1" xfId="0" applyBorder="1"/>
    <xf numFmtId="0" fontId="0" fillId="26" borderId="13" xfId="0" applyFill="1" applyBorder="1"/>
    <xf numFmtId="0" fontId="0" fillId="26" borderId="14" xfId="0" applyFill="1" applyBorder="1"/>
    <xf numFmtId="0" fontId="0" fillId="8" borderId="0" xfId="0" applyFill="1"/>
    <xf numFmtId="0" fontId="0" fillId="26" borderId="0" xfId="0" applyFill="1"/>
    <xf numFmtId="0" fontId="0" fillId="26" borderId="16" xfId="0" applyFill="1" applyBorder="1"/>
    <xf numFmtId="0" fontId="0" fillId="8" borderId="1" xfId="0" applyFill="1" applyBorder="1"/>
    <xf numFmtId="0" fontId="65" fillId="26" borderId="13" xfId="0" applyFont="1" applyFill="1" applyBorder="1"/>
    <xf numFmtId="0" fontId="65" fillId="26" borderId="14" xfId="0" applyFont="1" applyFill="1" applyBorder="1"/>
    <xf numFmtId="0" fontId="0" fillId="0" borderId="14" xfId="0" applyBorder="1"/>
    <xf numFmtId="37" fontId="18" fillId="13" borderId="0" xfId="4" applyNumberFormat="1" applyFont="1" applyFill="1" applyBorder="1" applyAlignment="1">
      <alignment horizontal="center"/>
    </xf>
    <xf numFmtId="0" fontId="0" fillId="10" borderId="1" xfId="0" applyFill="1" applyBorder="1"/>
    <xf numFmtId="165" fontId="0" fillId="10" borderId="14" xfId="4" applyNumberFormat="1" applyFont="1" applyFill="1" applyBorder="1" applyAlignment="1"/>
    <xf numFmtId="0" fontId="69" fillId="13" borderId="0" xfId="0" applyFont="1" applyFill="1" applyAlignment="1">
      <alignment horizontal="left" wrapText="1"/>
    </xf>
    <xf numFmtId="3" fontId="69" fillId="13" borderId="0" xfId="0" applyNumberFormat="1" applyFont="1" applyFill="1" applyAlignment="1">
      <alignment horizontal="left" wrapText="1"/>
    </xf>
    <xf numFmtId="37" fontId="69" fillId="13" borderId="0" xfId="4" applyNumberFormat="1" applyFont="1" applyFill="1" applyBorder="1" applyAlignment="1">
      <alignment horizontal="center"/>
    </xf>
    <xf numFmtId="1" fontId="69" fillId="13" borderId="0" xfId="0" applyNumberFormat="1" applyFont="1" applyFill="1" applyAlignment="1">
      <alignment horizontal="center" wrapText="1"/>
    </xf>
    <xf numFmtId="168" fontId="70" fillId="13" borderId="0" xfId="0" applyNumberFormat="1" applyFont="1" applyFill="1" applyAlignment="1">
      <alignment horizontal="center" vertical="center" wrapText="1"/>
    </xf>
    <xf numFmtId="0" fontId="18" fillId="13" borderId="0" xfId="0" applyFont="1" applyFill="1" applyAlignment="1">
      <alignment horizontal="left"/>
    </xf>
    <xf numFmtId="9" fontId="2" fillId="14" borderId="4" xfId="1" applyFont="1" applyFill="1" applyBorder="1" applyAlignment="1">
      <alignment horizontal="center" vertical="center" wrapText="1"/>
    </xf>
    <xf numFmtId="0" fontId="71" fillId="0" borderId="1" xfId="0" applyFont="1" applyBorder="1" applyAlignment="1">
      <alignment horizontal="left" wrapText="1"/>
    </xf>
    <xf numFmtId="0" fontId="72" fillId="0" borderId="1" xfId="0" applyFont="1" applyBorder="1" applyAlignment="1">
      <alignment horizontal="left" wrapText="1" indent="4"/>
    </xf>
    <xf numFmtId="0" fontId="26" fillId="0" borderId="0" xfId="0" applyFont="1"/>
    <xf numFmtId="17" fontId="73" fillId="23" borderId="21" xfId="0" applyNumberFormat="1" applyFont="1" applyFill="1" applyBorder="1" applyAlignment="1">
      <alignment horizontal="center" vertical="center" wrapText="1"/>
    </xf>
    <xf numFmtId="167" fontId="74" fillId="0" borderId="0" xfId="0" applyNumberFormat="1" applyFont="1" applyAlignment="1">
      <alignment vertical="center"/>
    </xf>
    <xf numFmtId="167" fontId="75" fillId="0" borderId="0" xfId="8" applyNumberFormat="1" applyFont="1" applyAlignment="1">
      <alignment vertical="center"/>
    </xf>
    <xf numFmtId="167" fontId="76" fillId="0" borderId="0" xfId="8" applyNumberFormat="1" applyFont="1" applyAlignment="1">
      <alignment vertical="center"/>
    </xf>
    <xf numFmtId="0" fontId="71" fillId="0" borderId="16" xfId="0" applyFont="1" applyBorder="1" applyAlignment="1">
      <alignment horizontal="left" wrapText="1"/>
    </xf>
    <xf numFmtId="167" fontId="74" fillId="26" borderId="0" xfId="0" applyNumberFormat="1" applyFont="1" applyFill="1" applyAlignment="1">
      <alignment vertical="center"/>
    </xf>
    <xf numFmtId="0" fontId="77" fillId="0" borderId="1" xfId="0" applyFont="1" applyBorder="1" applyAlignment="1">
      <alignment wrapText="1"/>
    </xf>
    <xf numFmtId="167" fontId="78" fillId="26" borderId="0" xfId="0" applyNumberFormat="1" applyFont="1" applyFill="1" applyAlignment="1">
      <alignment vertical="center"/>
    </xf>
    <xf numFmtId="167" fontId="79" fillId="26" borderId="0" xfId="0" applyNumberFormat="1" applyFont="1" applyFill="1" applyAlignment="1">
      <alignment vertical="center"/>
    </xf>
    <xf numFmtId="165" fontId="75" fillId="28" borderId="0" xfId="4" applyNumberFormat="1" applyFont="1" applyFill="1" applyAlignment="1">
      <alignment vertical="center"/>
    </xf>
    <xf numFmtId="167" fontId="75" fillId="28" borderId="0" xfId="4" applyNumberFormat="1" applyFont="1" applyFill="1" applyAlignment="1">
      <alignment vertical="center"/>
    </xf>
    <xf numFmtId="0" fontId="71" fillId="0" borderId="1" xfId="0" applyFont="1" applyBorder="1" applyAlignment="1">
      <alignment horizontal="left" vertical="center" wrapText="1"/>
    </xf>
    <xf numFmtId="167" fontId="75" fillId="28" borderId="0" xfId="8" applyNumberFormat="1" applyFont="1" applyFill="1" applyAlignment="1">
      <alignment vertical="center"/>
    </xf>
    <xf numFmtId="167" fontId="75" fillId="29" borderId="0" xfId="8" applyNumberFormat="1" applyFont="1" applyFill="1" applyAlignment="1">
      <alignment vertical="center"/>
    </xf>
    <xf numFmtId="0" fontId="77" fillId="0" borderId="1" xfId="0" applyFont="1" applyBorder="1"/>
    <xf numFmtId="41" fontId="74" fillId="0" borderId="0" xfId="8" applyNumberFormat="1" applyFont="1" applyAlignment="1">
      <alignment vertical="center"/>
    </xf>
    <xf numFmtId="0" fontId="79" fillId="0" borderId="0" xfId="8" applyFont="1" applyAlignment="1">
      <alignment vertical="center"/>
    </xf>
    <xf numFmtId="41" fontId="79" fillId="0" borderId="0" xfId="8" applyNumberFormat="1" applyFont="1" applyAlignment="1">
      <alignment vertical="center"/>
    </xf>
    <xf numFmtId="167" fontId="80" fillId="29" borderId="3" xfId="8" applyNumberFormat="1" applyFont="1" applyFill="1" applyBorder="1" applyAlignment="1">
      <alignment vertical="center"/>
    </xf>
    <xf numFmtId="41" fontId="75" fillId="0" borderId="0" xfId="8" applyNumberFormat="1" applyFont="1" applyAlignment="1">
      <alignment vertical="center"/>
    </xf>
    <xf numFmtId="167" fontId="81" fillId="30" borderId="0" xfId="10" applyNumberFormat="1" applyFont="1" applyFill="1" applyAlignment="1">
      <alignment vertical="center"/>
    </xf>
    <xf numFmtId="167" fontId="73" fillId="29" borderId="3" xfId="10" applyNumberFormat="1" applyFont="1" applyFill="1" applyBorder="1" applyAlignment="1">
      <alignment vertical="center"/>
    </xf>
    <xf numFmtId="17" fontId="73" fillId="31" borderId="22" xfId="0" quotePrefix="1" applyNumberFormat="1" applyFont="1" applyFill="1" applyBorder="1" applyAlignment="1">
      <alignment horizontal="center" vertical="center" wrapText="1"/>
    </xf>
    <xf numFmtId="165" fontId="0" fillId="13" borderId="0" xfId="4" applyNumberFormat="1" applyFont="1" applyFill="1" applyAlignment="1">
      <alignment wrapText="1"/>
    </xf>
    <xf numFmtId="3" fontId="82" fillId="13" borderId="0" xfId="0" applyNumberFormat="1" applyFont="1" applyFill="1" applyAlignment="1">
      <alignment wrapText="1"/>
    </xf>
    <xf numFmtId="3" fontId="83" fillId="13" borderId="0" xfId="0" applyNumberFormat="1" applyFont="1" applyFill="1" applyAlignment="1">
      <alignment wrapText="1"/>
    </xf>
    <xf numFmtId="0" fontId="0" fillId="32" borderId="0" xfId="0" applyFill="1"/>
    <xf numFmtId="167" fontId="0" fillId="32" borderId="0" xfId="0" applyNumberFormat="1" applyFill="1" applyAlignment="1">
      <alignment vertical="center"/>
    </xf>
    <xf numFmtId="167" fontId="75" fillId="32" borderId="0" xfId="8" applyNumberFormat="1" applyFont="1" applyFill="1" applyAlignment="1">
      <alignment vertical="center"/>
    </xf>
    <xf numFmtId="0" fontId="0" fillId="28" borderId="0" xfId="0" applyFill="1"/>
    <xf numFmtId="167" fontId="16" fillId="0" borderId="0" xfId="8" applyNumberFormat="1" applyFont="1" applyAlignment="1">
      <alignment vertical="center"/>
    </xf>
    <xf numFmtId="167" fontId="84" fillId="26" borderId="0" xfId="0" applyNumberFormat="1" applyFont="1" applyFill="1" applyAlignment="1">
      <alignment vertical="center"/>
    </xf>
    <xf numFmtId="167" fontId="85" fillId="26" borderId="0" xfId="0" applyNumberFormat="1" applyFont="1" applyFill="1" applyAlignment="1">
      <alignment vertical="center"/>
    </xf>
    <xf numFmtId="167" fontId="86" fillId="0" borderId="0" xfId="0" applyNumberFormat="1" applyFont="1" applyAlignment="1">
      <alignment vertical="center"/>
    </xf>
    <xf numFmtId="167" fontId="86" fillId="26" borderId="0" xfId="0" applyNumberFormat="1" applyFont="1" applyFill="1" applyAlignment="1">
      <alignment vertical="center"/>
    </xf>
    <xf numFmtId="41" fontId="86" fillId="0" borderId="0" xfId="8" applyNumberFormat="1" applyFont="1" applyAlignment="1">
      <alignment vertical="center"/>
    </xf>
    <xf numFmtId="41" fontId="85" fillId="0" borderId="0" xfId="8" applyNumberFormat="1" applyFont="1" applyAlignment="1">
      <alignment vertical="center"/>
    </xf>
    <xf numFmtId="167" fontId="16" fillId="32" borderId="0" xfId="0" applyNumberFormat="1" applyFont="1" applyFill="1" applyAlignment="1">
      <alignment vertical="center"/>
    </xf>
    <xf numFmtId="167" fontId="16" fillId="26" borderId="0" xfId="0" applyNumberFormat="1" applyFont="1" applyFill="1" applyAlignment="1">
      <alignment vertical="center"/>
    </xf>
    <xf numFmtId="167" fontId="16" fillId="28" borderId="0" xfId="8" applyNumberFormat="1" applyFont="1" applyFill="1" applyAlignment="1">
      <alignment vertical="center"/>
    </xf>
    <xf numFmtId="167" fontId="16" fillId="29" borderId="0" xfId="8" applyNumberFormat="1" applyFont="1" applyFill="1" applyAlignment="1">
      <alignment vertical="center"/>
    </xf>
    <xf numFmtId="167" fontId="16" fillId="0" borderId="0" xfId="0" applyNumberFormat="1" applyFont="1" applyAlignment="1">
      <alignment vertical="center"/>
    </xf>
    <xf numFmtId="167" fontId="88" fillId="29" borderId="3" xfId="8" applyNumberFormat="1" applyFont="1" applyFill="1" applyBorder="1" applyAlignment="1">
      <alignment vertical="center"/>
    </xf>
    <xf numFmtId="167" fontId="86" fillId="30" borderId="0" xfId="10" applyNumberFormat="1" applyFont="1" applyFill="1" applyAlignment="1">
      <alignment vertical="center"/>
    </xf>
    <xf numFmtId="167" fontId="87" fillId="29" borderId="3" xfId="10" applyNumberFormat="1" applyFont="1" applyFill="1" applyBorder="1" applyAlignment="1">
      <alignment vertical="center"/>
    </xf>
    <xf numFmtId="0" fontId="16" fillId="0" borderId="0" xfId="0" applyFont="1" applyAlignment="1"/>
    <xf numFmtId="17" fontId="87" fillId="31" borderId="22" xfId="0" quotePrefix="1" applyNumberFormat="1" applyFont="1" applyFill="1" applyBorder="1" applyAlignment="1">
      <alignment horizontal="center" vertical="center"/>
    </xf>
    <xf numFmtId="0" fontId="0" fillId="0" borderId="0" xfId="0" pivotButton="1"/>
    <xf numFmtId="0" fontId="0" fillId="0" borderId="0" xfId="0" applyAlignment="1">
      <alignment horizontal="left"/>
    </xf>
    <xf numFmtId="165" fontId="0" fillId="0" borderId="0" xfId="0" applyNumberFormat="1"/>
    <xf numFmtId="0" fontId="7" fillId="0" borderId="0" xfId="0" applyFont="1" applyBorder="1"/>
    <xf numFmtId="0" fontId="77" fillId="0" borderId="0" xfId="0" applyFont="1"/>
    <xf numFmtId="0" fontId="0" fillId="0" borderId="0" xfId="0" applyAlignment="1">
      <alignment horizontal="left" indent="1"/>
    </xf>
    <xf numFmtId="167" fontId="0" fillId="0" borderId="0" xfId="0" applyNumberFormat="1"/>
    <xf numFmtId="164" fontId="2" fillId="0" borderId="1" xfId="2" applyNumberFormat="1" applyFont="1" applyFill="1" applyBorder="1" applyAlignment="1">
      <alignment horizontal="center" vertical="center"/>
    </xf>
    <xf numFmtId="0" fontId="2" fillId="0" borderId="1" xfId="0" applyFont="1" applyFill="1" applyBorder="1" applyAlignment="1">
      <alignment horizontal="left" wrapText="1"/>
    </xf>
    <xf numFmtId="164" fontId="2" fillId="0" borderId="1" xfId="2" applyNumberFormat="1" applyFont="1" applyFill="1" applyBorder="1" applyAlignment="1">
      <alignment vertical="center"/>
    </xf>
    <xf numFmtId="0" fontId="9" fillId="13" borderId="0" xfId="0" applyFont="1" applyFill="1" applyAlignment="1">
      <alignment horizontal="left" vertical="center"/>
    </xf>
    <xf numFmtId="0" fontId="89" fillId="13" borderId="0" xfId="0" applyFont="1" applyFill="1" applyAlignment="1">
      <alignment horizontal="left" vertical="center" wrapText="1"/>
    </xf>
    <xf numFmtId="165" fontId="65" fillId="13" borderId="0" xfId="0" applyNumberFormat="1" applyFont="1" applyFill="1" applyAlignment="1">
      <alignment horizontal="right"/>
    </xf>
    <xf numFmtId="0" fontId="90" fillId="13" borderId="0" xfId="0" applyFont="1" applyFill="1" applyAlignment="1">
      <alignment horizontal="left" vertical="center" wrapText="1"/>
    </xf>
    <xf numFmtId="3" fontId="2" fillId="13" borderId="1" xfId="0" applyNumberFormat="1" applyFont="1" applyFill="1" applyBorder="1" applyAlignment="1">
      <alignment horizontal="center"/>
    </xf>
    <xf numFmtId="0" fontId="7" fillId="13" borderId="2" xfId="0" applyFont="1" applyFill="1" applyBorder="1" applyAlignment="1">
      <alignment horizontal="left" vertical="center" wrapText="1"/>
    </xf>
    <xf numFmtId="0" fontId="7" fillId="13" borderId="3" xfId="0" applyFont="1" applyFill="1" applyBorder="1" applyAlignment="1">
      <alignment horizontal="left" vertical="center" wrapText="1"/>
    </xf>
    <xf numFmtId="0" fontId="7" fillId="13" borderId="4"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5" fillId="13" borderId="8" xfId="0" applyFont="1" applyFill="1" applyBorder="1" applyAlignment="1">
      <alignment horizontal="left" vertical="center" wrapText="1"/>
    </xf>
    <xf numFmtId="0" fontId="5" fillId="13" borderId="9" xfId="0" applyFont="1" applyFill="1" applyBorder="1" applyAlignment="1">
      <alignment horizontal="left" vertical="center" wrapText="1"/>
    </xf>
    <xf numFmtId="0" fontId="5" fillId="13" borderId="10" xfId="0" applyFont="1" applyFill="1" applyBorder="1" applyAlignment="1">
      <alignment horizontal="left" vertical="center" wrapText="1"/>
    </xf>
    <xf numFmtId="0" fontId="5" fillId="13" borderId="11"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7" fillId="13" borderId="1"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13" borderId="4"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6" fillId="13" borderId="5" xfId="0" applyFont="1" applyFill="1" applyBorder="1" applyAlignment="1">
      <alignment horizontal="left" vertical="center" wrapText="1"/>
    </xf>
    <xf numFmtId="0" fontId="6" fillId="13" borderId="7" xfId="0" applyFont="1" applyFill="1" applyBorder="1" applyAlignment="1">
      <alignment horizontal="left" vertical="center" wrapText="1"/>
    </xf>
    <xf numFmtId="0" fontId="6" fillId="13" borderId="8" xfId="0" applyFont="1" applyFill="1" applyBorder="1" applyAlignment="1">
      <alignment horizontal="left" vertical="center" wrapText="1"/>
    </xf>
    <xf numFmtId="0" fontId="6" fillId="13" borderId="6" xfId="0" applyFont="1" applyFill="1" applyBorder="1" applyAlignment="1">
      <alignment horizontal="left" vertical="center" wrapText="1"/>
    </xf>
    <xf numFmtId="0" fontId="6" fillId="13" borderId="0" xfId="0" applyFont="1" applyFill="1" applyAlignment="1">
      <alignment horizontal="left" vertical="center" wrapText="1"/>
    </xf>
    <xf numFmtId="0" fontId="6" fillId="13" borderId="12" xfId="0" applyFont="1" applyFill="1" applyBorder="1" applyAlignment="1">
      <alignment horizontal="left" vertical="center" wrapText="1"/>
    </xf>
    <xf numFmtId="0" fontId="6" fillId="13" borderId="9" xfId="0" applyFont="1" applyFill="1" applyBorder="1" applyAlignment="1">
      <alignment horizontal="left" vertical="center" wrapText="1"/>
    </xf>
    <xf numFmtId="0" fontId="6" fillId="13" borderId="10" xfId="0" applyFont="1" applyFill="1" applyBorder="1" applyAlignment="1">
      <alignment horizontal="left" vertical="center" wrapText="1"/>
    </xf>
    <xf numFmtId="0" fontId="6" fillId="13" borderId="11" xfId="0" applyFont="1" applyFill="1" applyBorder="1" applyAlignment="1">
      <alignment horizontal="left" vertical="center" wrapText="1"/>
    </xf>
    <xf numFmtId="0" fontId="7" fillId="13" borderId="1" xfId="0" applyFont="1" applyFill="1" applyBorder="1" applyAlignment="1">
      <alignment horizontal="left" vertical="top" wrapText="1"/>
    </xf>
    <xf numFmtId="0" fontId="6" fillId="13" borderId="1" xfId="0" applyFont="1" applyFill="1" applyBorder="1" applyAlignment="1">
      <alignment horizontal="left" vertical="center" wrapText="1"/>
    </xf>
    <xf numFmtId="0" fontId="2" fillId="13" borderId="1" xfId="0" applyFont="1" applyFill="1" applyBorder="1" applyAlignment="1">
      <alignment horizontal="left" vertical="top" wrapText="1"/>
    </xf>
    <xf numFmtId="0" fontId="38" fillId="16" borderId="8" xfId="0" applyFont="1" applyFill="1" applyBorder="1" applyAlignment="1">
      <alignment horizontal="center" vertical="center" textRotation="90"/>
    </xf>
    <xf numFmtId="0" fontId="38" fillId="16" borderId="12" xfId="0" applyFont="1" applyFill="1" applyBorder="1" applyAlignment="1">
      <alignment horizontal="center" vertical="center" textRotation="90"/>
    </xf>
    <xf numFmtId="0" fontId="38" fillId="16" borderId="11" xfId="0" applyFont="1" applyFill="1" applyBorder="1" applyAlignment="1">
      <alignment horizontal="center" vertical="center" textRotation="90"/>
    </xf>
    <xf numFmtId="0" fontId="2" fillId="13" borderId="1" xfId="6" applyFont="1" applyFill="1" applyBorder="1" applyAlignment="1" applyProtection="1">
      <alignment vertical="center" wrapText="1"/>
    </xf>
    <xf numFmtId="0" fontId="2" fillId="13" borderId="2" xfId="0" applyFont="1" applyFill="1" applyBorder="1" applyAlignment="1">
      <alignment horizontal="left" vertical="center"/>
    </xf>
    <xf numFmtId="0" fontId="2" fillId="13" borderId="3" xfId="0" applyFont="1" applyFill="1" applyBorder="1" applyAlignment="1">
      <alignment horizontal="left" vertical="center"/>
    </xf>
    <xf numFmtId="0" fontId="2" fillId="13" borderId="4" xfId="0" applyFont="1" applyFill="1" applyBorder="1" applyAlignment="1">
      <alignment horizontal="left" vertical="center"/>
    </xf>
    <xf numFmtId="0" fontId="7" fillId="13" borderId="1" xfId="0" applyFont="1" applyFill="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4" fillId="0" borderId="2" xfId="0" applyFont="1" applyBorder="1" applyAlignment="1">
      <alignment horizontal="right" vertical="center"/>
    </xf>
    <xf numFmtId="0" fontId="34" fillId="0" borderId="4" xfId="0" applyFont="1" applyBorder="1" applyAlignment="1">
      <alignment horizontal="right" vertical="center"/>
    </xf>
    <xf numFmtId="0" fontId="33" fillId="0" borderId="2" xfId="0" applyFont="1" applyBorder="1" applyAlignment="1">
      <alignment horizontal="left" vertical="center"/>
    </xf>
    <xf numFmtId="0" fontId="33" fillId="0" borderId="4"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9" fillId="12" borderId="10"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7" fillId="13" borderId="1" xfId="0" applyFont="1" applyFill="1" applyBorder="1" applyAlignment="1">
      <alignment vertical="center" wrapText="1"/>
    </xf>
    <xf numFmtId="0" fontId="0" fillId="13" borderId="1" xfId="0" applyFill="1" applyBorder="1" applyAlignment="1">
      <alignment vertical="center" wrapText="1"/>
    </xf>
    <xf numFmtId="0" fontId="6" fillId="0" borderId="1" xfId="0" applyFont="1" applyBorder="1" applyAlignment="1">
      <alignment horizontal="left" vertical="center"/>
    </xf>
    <xf numFmtId="0" fontId="9" fillId="12" borderId="1" xfId="0" applyFont="1" applyFill="1" applyBorder="1" applyAlignment="1">
      <alignment horizontal="lef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5" fillId="0" borderId="2" xfId="0" applyFont="1" applyBorder="1" applyAlignment="1">
      <alignment horizontal="left"/>
    </xf>
    <xf numFmtId="0" fontId="5" fillId="0" borderId="4" xfId="0" applyFont="1" applyBorder="1" applyAlignment="1">
      <alignment horizontal="left"/>
    </xf>
    <xf numFmtId="0" fontId="33" fillId="13" borderId="2" xfId="0" applyFont="1" applyFill="1" applyBorder="1" applyAlignment="1">
      <alignment horizontal="left" vertical="center"/>
    </xf>
    <xf numFmtId="0" fontId="33" fillId="13" borderId="3" xfId="0" applyFont="1" applyFill="1" applyBorder="1" applyAlignment="1">
      <alignment horizontal="left" vertical="center"/>
    </xf>
    <xf numFmtId="0" fontId="33" fillId="13" borderId="4" xfId="0" applyFont="1" applyFill="1" applyBorder="1" applyAlignment="1">
      <alignment horizontal="left" vertical="center"/>
    </xf>
    <xf numFmtId="0" fontId="6" fillId="10" borderId="1" xfId="0" applyFont="1" applyFill="1" applyBorder="1" applyAlignment="1">
      <alignment horizontal="left" vertical="center" wrapText="1"/>
    </xf>
    <xf numFmtId="3" fontId="11" fillId="0" borderId="1" xfId="0" applyNumberFormat="1" applyFont="1" applyFill="1" applyBorder="1" applyAlignment="1">
      <alignment horizontal="center"/>
    </xf>
    <xf numFmtId="3" fontId="5" fillId="0" borderId="1" xfId="0" applyNumberFormat="1" applyFont="1" applyFill="1" applyBorder="1" applyAlignment="1">
      <alignment horizontal="center"/>
    </xf>
  </cellXfs>
  <cellStyles count="11">
    <cellStyle name="Comma" xfId="4" xr:uid="{00000000-0005-0000-0000-000004000000}"/>
    <cellStyle name="Comma [0]" xfId="5" xr:uid="{00000000-0005-0000-0000-000005000000}"/>
    <cellStyle name="Comma 2 2" xfId="10" xr:uid="{AAF77C25-541C-4846-A0AB-EB3E00544802}"/>
    <cellStyle name="Currency" xfId="2" xr:uid="{00000000-0005-0000-0000-000002000000}"/>
    <cellStyle name="Currency [0]" xfId="3" xr:uid="{00000000-0005-0000-0000-000003000000}"/>
    <cellStyle name="Hyperlink" xfId="6" xr:uid="{00000000-0005-0000-0000-000006000000}"/>
    <cellStyle name="Normal" xfId="0" builtinId="0"/>
    <cellStyle name="Normal 3" xfId="7" xr:uid="{8ED4B8F3-E752-427D-AC5F-9CEDFC1ECF59}"/>
    <cellStyle name="Normal 93 5" xfId="8" xr:uid="{91EB2BF1-C34B-4845-91D8-8F2A0BA1F200}"/>
    <cellStyle name="Normal 93 5 2" xfId="9" xr:uid="{1823EFD2-FF7B-472A-80DB-BB06CE192339}"/>
    <cellStyle name="Percent" xfId="1" xr:uid="{00000000-0005-0000-0000-000001000000}"/>
  </cellStyles>
  <dxfs count="1">
    <dxf>
      <numFmt numFmtId="165" formatCode="_(* #,##0_);_(* \(#,##0\);_(* &quot;-&quot;??_);_(@_)"/>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092923\Downloads\9+3%20Traditional%20Electric%20(MWh)%20Export.xlsx" TargetMode="External"/><Relationship Id="rId1" Type="http://schemas.openxmlformats.org/officeDocument/2006/relationships/externalLinkPath" Target="/Users/E092923/Downloads/9+3%20Traditional%20Electric%20(MWh)%20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 val="Without Total Rows"/>
      <sheetName val="Sheet1"/>
    </sheetNames>
    <sheetDataSet>
      <sheetData sheetId="0">
        <row r="1">
          <cell r="F1" t="str">
            <v>LE Electric Only (MWh)</v>
          </cell>
          <cell r="G1" t="str">
            <v>LE Electric Only (MWh)</v>
          </cell>
          <cell r="H1" t="str">
            <v>LE Electric Only (MWh)</v>
          </cell>
          <cell r="I1" t="str">
            <v>LE Electric Only (MWh)</v>
          </cell>
          <cell r="J1" t="str">
            <v>LE Electric Only (MWh)</v>
          </cell>
          <cell r="K1" t="str">
            <v>LE Electric Only (MWh)</v>
          </cell>
          <cell r="L1" t="str">
            <v>LE Electric Only (MWh)</v>
          </cell>
          <cell r="M1" t="str">
            <v>LE Electric Only (MWh)</v>
          </cell>
          <cell r="N1" t="str">
            <v>LE Electric Only (MWh)</v>
          </cell>
          <cell r="O1" t="str">
            <v>LE Electric Only (MWh)</v>
          </cell>
          <cell r="P1" t="str">
            <v>LE Electric Only (MWh)</v>
          </cell>
          <cell r="Q1" t="str">
            <v>LE Electric Only (MWh)</v>
          </cell>
          <cell r="R1" t="str">
            <v>LE Electric Only (MWh)</v>
          </cell>
          <cell r="S1" t="str">
            <v>Actual YTD</v>
          </cell>
        </row>
        <row r="2">
          <cell r="F2" t="str">
            <v>jan</v>
          </cell>
          <cell r="G2" t="str">
            <v>feb</v>
          </cell>
          <cell r="H2" t="str">
            <v>mar</v>
          </cell>
          <cell r="I2" t="str">
            <v>apr</v>
          </cell>
          <cell r="J2" t="str">
            <v>may</v>
          </cell>
          <cell r="K2" t="str">
            <v>jun</v>
          </cell>
          <cell r="L2" t="str">
            <v>july</v>
          </cell>
          <cell r="M2" t="str">
            <v>aug</v>
          </cell>
          <cell r="N2" t="str">
            <v>sep</v>
          </cell>
          <cell r="R2" t="str">
            <v>LE Electric Only (MWh) YE Total</v>
          </cell>
          <cell r="S2" t="str">
            <v>Actual YTD</v>
          </cell>
        </row>
        <row r="3">
          <cell r="F3">
            <v>23335.699999999997</v>
          </cell>
          <cell r="G3">
            <v>48834.89</v>
          </cell>
          <cell r="H3">
            <v>41638.379999999997</v>
          </cell>
          <cell r="I3">
            <v>46001.75</v>
          </cell>
          <cell r="J3">
            <v>48090.19</v>
          </cell>
          <cell r="K3">
            <v>58857</v>
          </cell>
          <cell r="L3">
            <v>44844.51</v>
          </cell>
          <cell r="M3">
            <v>43591.340000000004</v>
          </cell>
          <cell r="N3">
            <v>61334.71</v>
          </cell>
          <cell r="O3">
            <v>73084.25</v>
          </cell>
          <cell r="P3">
            <v>89422.26999999999</v>
          </cell>
          <cell r="Q3">
            <v>129184.43</v>
          </cell>
          <cell r="R3">
            <v>708219.41999999993</v>
          </cell>
          <cell r="S3">
            <v>416528.47000000009</v>
          </cell>
        </row>
        <row r="4">
          <cell r="F4">
            <v>17110.099999999999</v>
          </cell>
          <cell r="G4">
            <v>36446.46</v>
          </cell>
          <cell r="H4">
            <v>26035.909999999996</v>
          </cell>
          <cell r="I4">
            <v>26690.42</v>
          </cell>
          <cell r="J4">
            <v>26367.06</v>
          </cell>
          <cell r="K4">
            <v>32046.28</v>
          </cell>
          <cell r="L4">
            <v>27133.32</v>
          </cell>
          <cell r="M4">
            <v>25938.340000000004</v>
          </cell>
          <cell r="N4">
            <v>28147.760000000002</v>
          </cell>
          <cell r="O4">
            <v>41061.25</v>
          </cell>
          <cell r="P4">
            <v>52034.96</v>
          </cell>
          <cell r="Q4">
            <v>67471.509999999995</v>
          </cell>
          <cell r="R4">
            <v>406483.37</v>
          </cell>
          <cell r="S4">
            <v>245915.65000000002</v>
          </cell>
        </row>
        <row r="5">
          <cell r="E5" t="str">
            <v>Incentives-Total</v>
          </cell>
          <cell r="F5">
            <v>8691.5500000000011</v>
          </cell>
          <cell r="G5">
            <v>27079.64</v>
          </cell>
          <cell r="H5">
            <v>12691.289999999999</v>
          </cell>
          <cell r="I5">
            <v>13323.71</v>
          </cell>
          <cell r="J5">
            <v>11211.16</v>
          </cell>
          <cell r="K5">
            <v>18680.28</v>
          </cell>
          <cell r="L5">
            <v>12690.97</v>
          </cell>
          <cell r="M5">
            <v>14582.470000000001</v>
          </cell>
          <cell r="N5">
            <v>12207.720000000001</v>
          </cell>
          <cell r="O5">
            <v>26833.25</v>
          </cell>
          <cell r="P5">
            <v>13411.289999999999</v>
          </cell>
          <cell r="Q5">
            <v>20716.199999999997</v>
          </cell>
          <cell r="R5">
            <v>192119.52999999997</v>
          </cell>
          <cell r="S5">
            <v>131158.79</v>
          </cell>
        </row>
        <row r="6">
          <cell r="E6" t="str">
            <v>Incentives-Standard - Private</v>
          </cell>
          <cell r="F6">
            <v>7144.06</v>
          </cell>
          <cell r="G6">
            <v>25053.45</v>
          </cell>
          <cell r="H6">
            <v>11583.779999999999</v>
          </cell>
          <cell r="I6">
            <v>11975.669999999998</v>
          </cell>
          <cell r="J6">
            <v>10402.15</v>
          </cell>
          <cell r="K6">
            <v>16541.7</v>
          </cell>
          <cell r="L6">
            <v>11404.83</v>
          </cell>
          <cell r="M6">
            <v>12868.62</v>
          </cell>
          <cell r="N6">
            <v>10058.59</v>
          </cell>
          <cell r="O6">
            <v>23262.06</v>
          </cell>
          <cell r="P6">
            <v>8188.579999999999</v>
          </cell>
          <cell r="Q6">
            <v>15564.55</v>
          </cell>
          <cell r="R6">
            <v>164048.03999999998</v>
          </cell>
          <cell r="S6">
            <v>117032.84999999999</v>
          </cell>
        </row>
        <row r="7">
          <cell r="E7" t="str">
            <v>Incentives-Standard - Public</v>
          </cell>
          <cell r="F7">
            <v>1547.49</v>
          </cell>
          <cell r="G7">
            <v>2026.19</v>
          </cell>
          <cell r="H7">
            <v>1107.51</v>
          </cell>
          <cell r="I7">
            <v>1348.04</v>
          </cell>
          <cell r="J7">
            <v>809.01</v>
          </cell>
          <cell r="K7">
            <v>2138.58</v>
          </cell>
          <cell r="L7">
            <v>1286.1400000000001</v>
          </cell>
          <cell r="M7">
            <v>1713.85</v>
          </cell>
          <cell r="N7">
            <v>2149.13</v>
          </cell>
          <cell r="O7">
            <v>3571.1900000000005</v>
          </cell>
          <cell r="P7">
            <v>5222.71</v>
          </cell>
          <cell r="Q7">
            <v>5151.6499999999996</v>
          </cell>
          <cell r="R7">
            <v>28071.489999999998</v>
          </cell>
          <cell r="S7">
            <v>14125.939999999999</v>
          </cell>
        </row>
        <row r="8">
          <cell r="E8" t="str">
            <v>Small Business-Total</v>
          </cell>
          <cell r="F8">
            <v>8418.5499999999993</v>
          </cell>
          <cell r="G8">
            <v>9366.8200000000015</v>
          </cell>
          <cell r="H8">
            <v>13344.619999999999</v>
          </cell>
          <cell r="I8">
            <v>13366.710000000001</v>
          </cell>
          <cell r="J8">
            <v>15155.900000000001</v>
          </cell>
          <cell r="K8">
            <v>13366</v>
          </cell>
          <cell r="L8">
            <v>14442.349999999999</v>
          </cell>
          <cell r="M8">
            <v>11355.87</v>
          </cell>
          <cell r="N8">
            <v>15940.04</v>
          </cell>
          <cell r="O8">
            <v>14227.999999999998</v>
          </cell>
          <cell r="P8">
            <v>38623.67</v>
          </cell>
          <cell r="Q8">
            <v>46755.31</v>
          </cell>
          <cell r="R8">
            <v>214363.84</v>
          </cell>
          <cell r="S8">
            <v>114756.86000000002</v>
          </cell>
        </row>
        <row r="9">
          <cell r="E9" t="str">
            <v>Small Business-Small Business - Private</v>
          </cell>
          <cell r="F9">
            <v>7916.3399999999992</v>
          </cell>
          <cell r="G9">
            <v>8863.9500000000007</v>
          </cell>
          <cell r="H9">
            <v>12442.529999999999</v>
          </cell>
          <cell r="I9">
            <v>12480.890000000001</v>
          </cell>
          <cell r="J9">
            <v>13112.7</v>
          </cell>
          <cell r="K9">
            <v>10435.969999999999</v>
          </cell>
          <cell r="L9">
            <v>10739.15</v>
          </cell>
          <cell r="M9">
            <v>9606.94</v>
          </cell>
          <cell r="N9">
            <v>14256.54</v>
          </cell>
          <cell r="O9">
            <v>12586.949999999999</v>
          </cell>
          <cell r="P9">
            <v>34021.42</v>
          </cell>
          <cell r="Q9">
            <v>42480.27</v>
          </cell>
          <cell r="R9">
            <v>188943.65</v>
          </cell>
          <cell r="S9">
            <v>99855.010000000009</v>
          </cell>
        </row>
        <row r="10">
          <cell r="E10" t="str">
            <v>Small Business-Small Business - Public</v>
          </cell>
          <cell r="F10">
            <v>502.21</v>
          </cell>
          <cell r="G10">
            <v>502.87</v>
          </cell>
          <cell r="H10">
            <v>902.09</v>
          </cell>
          <cell r="I10">
            <v>885.82</v>
          </cell>
          <cell r="J10">
            <v>2043.2</v>
          </cell>
          <cell r="K10">
            <v>2930.03</v>
          </cell>
          <cell r="L10">
            <v>3703.2</v>
          </cell>
          <cell r="M10">
            <v>1748.93</v>
          </cell>
          <cell r="N10">
            <v>1683.5</v>
          </cell>
          <cell r="O10">
            <v>1641.05</v>
          </cell>
          <cell r="P10">
            <v>4602.25</v>
          </cell>
          <cell r="Q10">
            <v>4275.04</v>
          </cell>
          <cell r="R10">
            <v>25420.19</v>
          </cell>
          <cell r="S10">
            <v>14901.850000000002</v>
          </cell>
        </row>
        <row r="11">
          <cell r="E11" t="str">
            <v>Total-</v>
          </cell>
          <cell r="F11">
            <v>6225.6</v>
          </cell>
          <cell r="G11">
            <v>12388.429999999998</v>
          </cell>
          <cell r="H11">
            <v>15602.47</v>
          </cell>
          <cell r="I11">
            <v>19311.329999999998</v>
          </cell>
          <cell r="J11">
            <v>21723.13</v>
          </cell>
          <cell r="K11">
            <v>26810.720000000001</v>
          </cell>
          <cell r="L11">
            <v>17711.190000000002</v>
          </cell>
          <cell r="M11">
            <v>17653</v>
          </cell>
          <cell r="N11">
            <v>33186.949999999997</v>
          </cell>
          <cell r="O11">
            <v>32023</v>
          </cell>
          <cell r="P11">
            <v>37387.31</v>
          </cell>
          <cell r="Q11">
            <v>61712.92</v>
          </cell>
          <cell r="R11">
            <v>301736.05</v>
          </cell>
          <cell r="S11">
            <v>170612.82</v>
          </cell>
        </row>
        <row r="12">
          <cell r="E12" t="str">
            <v>Behavior - Bus/Pub-Total</v>
          </cell>
          <cell r="F12">
            <v>1482.93</v>
          </cell>
          <cell r="G12">
            <v>0</v>
          </cell>
          <cell r="H12">
            <v>2645.46</v>
          </cell>
          <cell r="I12">
            <v>0</v>
          </cell>
          <cell r="J12">
            <v>700.81</v>
          </cell>
          <cell r="K12">
            <v>559</v>
          </cell>
          <cell r="L12">
            <v>1261.19</v>
          </cell>
          <cell r="M12">
            <v>51</v>
          </cell>
          <cell r="N12">
            <v>2258.9499999999998</v>
          </cell>
          <cell r="O12">
            <v>4318</v>
          </cell>
          <cell r="P12">
            <v>3496</v>
          </cell>
          <cell r="Q12">
            <v>28640</v>
          </cell>
          <cell r="R12">
            <v>45413.34</v>
          </cell>
          <cell r="S12">
            <v>8959.34</v>
          </cell>
        </row>
        <row r="13">
          <cell r="E13" t="str">
            <v>Behavior - Bus/Pub-Strategic Energy Management - Private</v>
          </cell>
          <cell r="F13">
            <v>1482.93</v>
          </cell>
          <cell r="G13">
            <v>0</v>
          </cell>
          <cell r="H13">
            <v>2645.46</v>
          </cell>
          <cell r="I13">
            <v>0</v>
          </cell>
          <cell r="J13">
            <v>552.64</v>
          </cell>
          <cell r="K13">
            <v>559</v>
          </cell>
          <cell r="L13">
            <v>531.82000000000005</v>
          </cell>
          <cell r="M13">
            <v>0</v>
          </cell>
          <cell r="N13">
            <v>1636.67</v>
          </cell>
          <cell r="O13">
            <v>3849</v>
          </cell>
          <cell r="P13">
            <v>2308</v>
          </cell>
          <cell r="Q13">
            <v>24297</v>
          </cell>
          <cell r="R13">
            <v>37862.519999999997</v>
          </cell>
          <cell r="S13">
            <v>7408.52</v>
          </cell>
        </row>
        <row r="14">
          <cell r="E14" t="str">
            <v>Behavior - Bus/Pub-Strategic Energy Management - Public</v>
          </cell>
          <cell r="F14">
            <v>0</v>
          </cell>
          <cell r="G14">
            <v>0</v>
          </cell>
          <cell r="H14">
            <v>0</v>
          </cell>
          <cell r="I14">
            <v>0</v>
          </cell>
          <cell r="J14">
            <v>148.16999999999999</v>
          </cell>
          <cell r="K14">
            <v>0</v>
          </cell>
          <cell r="L14">
            <v>729.37</v>
          </cell>
          <cell r="M14">
            <v>51</v>
          </cell>
          <cell r="N14">
            <v>622.28</v>
          </cell>
          <cell r="O14">
            <v>469</v>
          </cell>
          <cell r="P14">
            <v>1188</v>
          </cell>
          <cell r="Q14">
            <v>4343</v>
          </cell>
          <cell r="R14">
            <v>7550.82</v>
          </cell>
          <cell r="S14">
            <v>1550.82</v>
          </cell>
        </row>
        <row r="15">
          <cell r="E15" t="str">
            <v>Commercial Foodservice-Total</v>
          </cell>
          <cell r="F15">
            <v>0</v>
          </cell>
          <cell r="G15">
            <v>156.22</v>
          </cell>
          <cell r="H15">
            <v>220.38</v>
          </cell>
          <cell r="I15">
            <v>118.53</v>
          </cell>
          <cell r="J15">
            <v>44.32</v>
          </cell>
          <cell r="K15">
            <v>84.72</v>
          </cell>
          <cell r="L15">
            <v>107</v>
          </cell>
          <cell r="M15">
            <v>85</v>
          </cell>
          <cell r="N15">
            <v>51</v>
          </cell>
          <cell r="O15">
            <v>167</v>
          </cell>
          <cell r="P15">
            <v>170.31</v>
          </cell>
          <cell r="Q15">
            <v>169.92</v>
          </cell>
          <cell r="R15">
            <v>1374.4</v>
          </cell>
          <cell r="S15">
            <v>867.17000000000007</v>
          </cell>
        </row>
        <row r="16">
          <cell r="E16" t="str">
            <v>Commercial Foodservice-Private</v>
          </cell>
          <cell r="F16">
            <v>0</v>
          </cell>
          <cell r="G16">
            <v>154.58000000000001</v>
          </cell>
          <cell r="H16">
            <v>219.62</v>
          </cell>
          <cell r="I16">
            <v>98.26</v>
          </cell>
          <cell r="J16">
            <v>44.32</v>
          </cell>
          <cell r="K16">
            <v>83.72</v>
          </cell>
          <cell r="L16">
            <v>93</v>
          </cell>
          <cell r="M16">
            <v>84</v>
          </cell>
          <cell r="N16">
            <v>50</v>
          </cell>
          <cell r="O16">
            <v>159</v>
          </cell>
          <cell r="P16">
            <v>162</v>
          </cell>
          <cell r="Q16">
            <v>159</v>
          </cell>
          <cell r="R16">
            <v>1307.5</v>
          </cell>
          <cell r="S16">
            <v>827.50000000000011</v>
          </cell>
        </row>
        <row r="17">
          <cell r="E17" t="str">
            <v>Commercial Foodservice-Public</v>
          </cell>
          <cell r="F17">
            <v>0</v>
          </cell>
          <cell r="G17">
            <v>1.64</v>
          </cell>
          <cell r="H17">
            <v>0.76</v>
          </cell>
          <cell r="I17">
            <v>20.27</v>
          </cell>
          <cell r="J17">
            <v>0</v>
          </cell>
          <cell r="K17">
            <v>1</v>
          </cell>
          <cell r="L17">
            <v>14</v>
          </cell>
          <cell r="M17">
            <v>1</v>
          </cell>
          <cell r="N17">
            <v>1</v>
          </cell>
          <cell r="O17">
            <v>8</v>
          </cell>
          <cell r="P17">
            <v>8.31</v>
          </cell>
          <cell r="Q17">
            <v>10.92</v>
          </cell>
          <cell r="R17">
            <v>66.899999999999991</v>
          </cell>
          <cell r="S17">
            <v>39.67</v>
          </cell>
        </row>
        <row r="18">
          <cell r="E18" t="str">
            <v>Incentives-Total</v>
          </cell>
          <cell r="F18">
            <v>42.83</v>
          </cell>
          <cell r="G18">
            <v>522.04999999999995</v>
          </cell>
          <cell r="H18">
            <v>171</v>
          </cell>
          <cell r="I18">
            <v>698</v>
          </cell>
          <cell r="J18">
            <v>469</v>
          </cell>
          <cell r="K18">
            <v>757</v>
          </cell>
          <cell r="L18">
            <v>1289</v>
          </cell>
          <cell r="M18">
            <v>491</v>
          </cell>
          <cell r="N18">
            <v>1604</v>
          </cell>
          <cell r="O18">
            <v>1383</v>
          </cell>
          <cell r="P18">
            <v>3337</v>
          </cell>
          <cell r="Q18">
            <v>2473</v>
          </cell>
          <cell r="R18">
            <v>13236.88</v>
          </cell>
          <cell r="S18">
            <v>6043.88</v>
          </cell>
        </row>
        <row r="19">
          <cell r="E19" t="str">
            <v>Incentives-Custom - Private</v>
          </cell>
          <cell r="F19">
            <v>42.83</v>
          </cell>
          <cell r="G19">
            <v>468.7</v>
          </cell>
          <cell r="H19">
            <v>171</v>
          </cell>
          <cell r="I19">
            <v>282</v>
          </cell>
          <cell r="J19">
            <v>368</v>
          </cell>
          <cell r="K19">
            <v>617</v>
          </cell>
          <cell r="L19">
            <v>1183</v>
          </cell>
          <cell r="M19">
            <v>438</v>
          </cell>
          <cell r="N19">
            <v>1582</v>
          </cell>
          <cell r="O19">
            <v>1383</v>
          </cell>
          <cell r="P19">
            <v>2858</v>
          </cell>
          <cell r="Q19">
            <v>2373</v>
          </cell>
          <cell r="R19">
            <v>11766.529999999999</v>
          </cell>
          <cell r="S19">
            <v>5152.53</v>
          </cell>
        </row>
        <row r="20">
          <cell r="E20" t="str">
            <v>Incentives-Custom - Public Sector</v>
          </cell>
          <cell r="F20">
            <v>0</v>
          </cell>
          <cell r="G20">
            <v>53.35</v>
          </cell>
          <cell r="H20">
            <v>0</v>
          </cell>
          <cell r="I20">
            <v>416</v>
          </cell>
          <cell r="J20">
            <v>101</v>
          </cell>
          <cell r="K20">
            <v>140</v>
          </cell>
          <cell r="L20">
            <v>106</v>
          </cell>
          <cell r="M20">
            <v>53</v>
          </cell>
          <cell r="N20">
            <v>22</v>
          </cell>
          <cell r="O20">
            <v>0</v>
          </cell>
          <cell r="P20">
            <v>479</v>
          </cell>
          <cell r="Q20">
            <v>100</v>
          </cell>
          <cell r="R20">
            <v>1470.35</v>
          </cell>
          <cell r="S20">
            <v>891.35</v>
          </cell>
        </row>
        <row r="21">
          <cell r="E21" t="str">
            <v>Midstream/Upstream-Total</v>
          </cell>
          <cell r="F21">
            <v>3932</v>
          </cell>
          <cell r="G21">
            <v>9300</v>
          </cell>
          <cell r="H21">
            <v>9645</v>
          </cell>
          <cell r="I21">
            <v>12870</v>
          </cell>
          <cell r="J21">
            <v>13655</v>
          </cell>
          <cell r="K21">
            <v>13610</v>
          </cell>
          <cell r="L21">
            <v>7741</v>
          </cell>
          <cell r="M21">
            <v>7111</v>
          </cell>
          <cell r="N21">
            <v>19456</v>
          </cell>
          <cell r="O21">
            <v>15968</v>
          </cell>
          <cell r="P21">
            <v>14575.000000000002</v>
          </cell>
          <cell r="Q21">
            <v>11993</v>
          </cell>
          <cell r="R21">
            <v>139856</v>
          </cell>
          <cell r="S21">
            <v>97320</v>
          </cell>
        </row>
        <row r="22">
          <cell r="E22" t="str">
            <v>Midstream/Upstream-Private</v>
          </cell>
          <cell r="F22">
            <v>2544</v>
          </cell>
          <cell r="G22">
            <v>7260</v>
          </cell>
          <cell r="H22">
            <v>8029</v>
          </cell>
          <cell r="I22">
            <v>10548</v>
          </cell>
          <cell r="J22">
            <v>10864</v>
          </cell>
          <cell r="K22">
            <v>10855</v>
          </cell>
          <cell r="L22">
            <v>4222</v>
          </cell>
          <cell r="M22">
            <v>5267</v>
          </cell>
          <cell r="N22">
            <v>17335</v>
          </cell>
          <cell r="O22">
            <v>13670</v>
          </cell>
          <cell r="P22">
            <v>12427.000000000002</v>
          </cell>
          <cell r="Q22">
            <v>10220</v>
          </cell>
          <cell r="R22">
            <v>113241</v>
          </cell>
          <cell r="S22">
            <v>76924</v>
          </cell>
        </row>
        <row r="23">
          <cell r="E23" t="str">
            <v>Midstream/Upstream-Public</v>
          </cell>
          <cell r="F23">
            <v>1388</v>
          </cell>
          <cell r="G23">
            <v>2040</v>
          </cell>
          <cell r="H23">
            <v>1616</v>
          </cell>
          <cell r="I23">
            <v>2322</v>
          </cell>
          <cell r="J23">
            <v>2791</v>
          </cell>
          <cell r="K23">
            <v>2755</v>
          </cell>
          <cell r="L23">
            <v>3519</v>
          </cell>
          <cell r="M23">
            <v>1844</v>
          </cell>
          <cell r="N23">
            <v>2121</v>
          </cell>
          <cell r="O23">
            <v>2298</v>
          </cell>
          <cell r="P23">
            <v>2148</v>
          </cell>
          <cell r="Q23">
            <v>1773</v>
          </cell>
          <cell r="R23">
            <v>26615</v>
          </cell>
          <cell r="S23">
            <v>20396</v>
          </cell>
        </row>
        <row r="24">
          <cell r="E24" t="str">
            <v>New Construction - Bus/Pub-Total</v>
          </cell>
          <cell r="F24">
            <v>80</v>
          </cell>
          <cell r="G24">
            <v>207.32</v>
          </cell>
          <cell r="H24">
            <v>9</v>
          </cell>
          <cell r="I24">
            <v>0</v>
          </cell>
          <cell r="J24">
            <v>808</v>
          </cell>
          <cell r="K24">
            <v>683</v>
          </cell>
          <cell r="L24">
            <v>1739</v>
          </cell>
          <cell r="M24">
            <v>268</v>
          </cell>
          <cell r="N24">
            <v>949</v>
          </cell>
          <cell r="O24">
            <v>203</v>
          </cell>
          <cell r="P24">
            <v>327</v>
          </cell>
          <cell r="Q24">
            <v>511</v>
          </cell>
          <cell r="R24">
            <v>5784.32</v>
          </cell>
          <cell r="S24">
            <v>4743.32</v>
          </cell>
        </row>
        <row r="25">
          <cell r="E25" t="str">
            <v>New Construction - Bus/Pub-Private</v>
          </cell>
          <cell r="F25">
            <v>80</v>
          </cell>
          <cell r="G25">
            <v>207.32</v>
          </cell>
          <cell r="H25">
            <v>9</v>
          </cell>
          <cell r="I25">
            <v>0</v>
          </cell>
          <cell r="J25">
            <v>808</v>
          </cell>
          <cell r="K25">
            <v>541</v>
          </cell>
          <cell r="L25">
            <v>1726</v>
          </cell>
          <cell r="M25">
            <v>268</v>
          </cell>
          <cell r="N25">
            <v>637</v>
          </cell>
          <cell r="O25">
            <v>93</v>
          </cell>
          <cell r="P25">
            <v>190</v>
          </cell>
          <cell r="Q25">
            <v>111</v>
          </cell>
          <cell r="R25">
            <v>4670.32</v>
          </cell>
          <cell r="S25">
            <v>4276.32</v>
          </cell>
        </row>
        <row r="26">
          <cell r="E26" t="str">
            <v>New Construction - Bus/Pub-Public</v>
          </cell>
          <cell r="F26">
            <v>0</v>
          </cell>
          <cell r="G26">
            <v>0</v>
          </cell>
          <cell r="H26">
            <v>0</v>
          </cell>
          <cell r="I26">
            <v>0</v>
          </cell>
          <cell r="J26">
            <v>0</v>
          </cell>
          <cell r="K26">
            <v>142</v>
          </cell>
          <cell r="L26">
            <v>13</v>
          </cell>
          <cell r="M26">
            <v>0</v>
          </cell>
          <cell r="N26">
            <v>312</v>
          </cell>
          <cell r="O26">
            <v>110</v>
          </cell>
          <cell r="P26">
            <v>137</v>
          </cell>
          <cell r="Q26">
            <v>400</v>
          </cell>
          <cell r="R26">
            <v>1114</v>
          </cell>
          <cell r="S26">
            <v>467</v>
          </cell>
        </row>
        <row r="27">
          <cell r="E27" t="str">
            <v>Targeted Systems-Total</v>
          </cell>
          <cell r="F27">
            <v>687.84</v>
          </cell>
          <cell r="G27">
            <v>2202.84</v>
          </cell>
          <cell r="H27">
            <v>2911.63</v>
          </cell>
          <cell r="I27">
            <v>5624.8</v>
          </cell>
          <cell r="J27">
            <v>6046</v>
          </cell>
          <cell r="K27">
            <v>11117</v>
          </cell>
          <cell r="L27">
            <v>5574</v>
          </cell>
          <cell r="M27">
            <v>9647</v>
          </cell>
          <cell r="N27">
            <v>8868</v>
          </cell>
          <cell r="O27">
            <v>9984</v>
          </cell>
          <cell r="P27">
            <v>15482</v>
          </cell>
          <cell r="Q27">
            <v>17926</v>
          </cell>
          <cell r="R27">
            <v>96071.11</v>
          </cell>
          <cell r="S27">
            <v>52679.11</v>
          </cell>
        </row>
        <row r="28">
          <cell r="E28" t="str">
            <v>Targeted Systems-Industrial Systems</v>
          </cell>
          <cell r="F28">
            <v>669</v>
          </cell>
          <cell r="G28">
            <v>1250.3</v>
          </cell>
          <cell r="H28">
            <v>2529</v>
          </cell>
          <cell r="I28">
            <v>3691</v>
          </cell>
          <cell r="J28">
            <v>4532</v>
          </cell>
          <cell r="K28">
            <v>3527</v>
          </cell>
          <cell r="L28">
            <v>2919</v>
          </cell>
          <cell r="M28">
            <v>6265</v>
          </cell>
          <cell r="N28">
            <v>5114</v>
          </cell>
          <cell r="O28">
            <v>3630</v>
          </cell>
          <cell r="P28">
            <v>7203</v>
          </cell>
          <cell r="Q28">
            <v>10949</v>
          </cell>
          <cell r="R28">
            <v>52278.3</v>
          </cell>
          <cell r="S28">
            <v>30496.3</v>
          </cell>
        </row>
        <row r="29">
          <cell r="E29" t="str">
            <v>Targeted Systems-Retro-Commissioning - Private</v>
          </cell>
          <cell r="F29">
            <v>18.84</v>
          </cell>
          <cell r="G29">
            <v>472.21</v>
          </cell>
          <cell r="H29">
            <v>351.63</v>
          </cell>
          <cell r="I29">
            <v>919.22</v>
          </cell>
          <cell r="J29">
            <v>726</v>
          </cell>
          <cell r="K29">
            <v>5826</v>
          </cell>
          <cell r="L29">
            <v>1099</v>
          </cell>
          <cell r="M29">
            <v>1645</v>
          </cell>
          <cell r="N29">
            <v>1131</v>
          </cell>
          <cell r="O29">
            <v>3917</v>
          </cell>
          <cell r="P29">
            <v>5693</v>
          </cell>
          <cell r="Q29">
            <v>4740</v>
          </cell>
          <cell r="R29">
            <v>26538.9</v>
          </cell>
          <cell r="S29">
            <v>12188.9</v>
          </cell>
        </row>
        <row r="30">
          <cell r="E30" t="str">
            <v>Targeted Systems-Retro-Commissioning - Public</v>
          </cell>
          <cell r="F30">
            <v>0</v>
          </cell>
          <cell r="G30">
            <v>480.33</v>
          </cell>
          <cell r="H30">
            <v>31</v>
          </cell>
          <cell r="I30">
            <v>1014.58</v>
          </cell>
          <cell r="J30">
            <v>788</v>
          </cell>
          <cell r="K30">
            <v>1764</v>
          </cell>
          <cell r="L30">
            <v>1556</v>
          </cell>
          <cell r="M30">
            <v>1737</v>
          </cell>
          <cell r="N30">
            <v>2623</v>
          </cell>
          <cell r="O30">
            <v>2437</v>
          </cell>
          <cell r="P30">
            <v>2586</v>
          </cell>
          <cell r="Q30">
            <v>2237</v>
          </cell>
          <cell r="R30">
            <v>17253.91</v>
          </cell>
          <cell r="S30">
            <v>9993.91</v>
          </cell>
        </row>
        <row r="31">
          <cell r="E31" t="str">
            <v>-</v>
          </cell>
          <cell r="F31">
            <v>2632.66</v>
          </cell>
          <cell r="G31">
            <v>1274.6600000000001</v>
          </cell>
          <cell r="H31">
            <v>2676.66</v>
          </cell>
          <cell r="I31">
            <v>6881.66</v>
          </cell>
          <cell r="J31">
            <v>30514.659999999996</v>
          </cell>
          <cell r="K31">
            <v>10863.66</v>
          </cell>
          <cell r="L31">
            <v>16314.66</v>
          </cell>
          <cell r="M31">
            <v>10850.66</v>
          </cell>
          <cell r="N31">
            <v>5432.66</v>
          </cell>
          <cell r="O31">
            <v>49156.66</v>
          </cell>
          <cell r="P31">
            <v>21659.660000000003</v>
          </cell>
          <cell r="Q31">
            <v>6467.66</v>
          </cell>
          <cell r="R31">
            <v>164725.91999999998</v>
          </cell>
          <cell r="S31">
            <v>87441.94</v>
          </cell>
        </row>
        <row r="32">
          <cell r="E32" t="str">
            <v>Total-</v>
          </cell>
          <cell r="F32">
            <v>291.66000000000003</v>
          </cell>
          <cell r="G32">
            <v>291.66000000000003</v>
          </cell>
          <cell r="H32">
            <v>291.66000000000003</v>
          </cell>
          <cell r="I32">
            <v>291.66000000000003</v>
          </cell>
          <cell r="J32">
            <v>5432.66</v>
          </cell>
          <cell r="K32">
            <v>5432.66</v>
          </cell>
          <cell r="L32">
            <v>5432.66</v>
          </cell>
          <cell r="M32">
            <v>5432.66</v>
          </cell>
          <cell r="N32">
            <v>5432.66</v>
          </cell>
          <cell r="O32">
            <v>5432.66</v>
          </cell>
          <cell r="P32">
            <v>5432.66</v>
          </cell>
          <cell r="Q32">
            <v>6467.66</v>
          </cell>
          <cell r="R32">
            <v>45662.92</v>
          </cell>
          <cell r="S32">
            <v>28329.94</v>
          </cell>
        </row>
        <row r="33">
          <cell r="E33" t="str">
            <v>Additional/Other Savings-Total</v>
          </cell>
          <cell r="F33">
            <v>0</v>
          </cell>
          <cell r="G33">
            <v>0</v>
          </cell>
          <cell r="H33">
            <v>0</v>
          </cell>
          <cell r="I33">
            <v>0</v>
          </cell>
          <cell r="J33">
            <v>0</v>
          </cell>
          <cell r="K33">
            <v>0</v>
          </cell>
          <cell r="L33">
            <v>0</v>
          </cell>
          <cell r="M33">
            <v>0</v>
          </cell>
          <cell r="N33">
            <v>0</v>
          </cell>
          <cell r="O33">
            <v>0</v>
          </cell>
          <cell r="P33">
            <v>0</v>
          </cell>
          <cell r="Q33">
            <v>1035</v>
          </cell>
          <cell r="R33">
            <v>1035</v>
          </cell>
          <cell r="S33">
            <v>0</v>
          </cell>
        </row>
        <row r="34">
          <cell r="E34" t="str">
            <v>Additional/Other Savings-Weatherization Purchase Agreement - Nicor</v>
          </cell>
          <cell r="F34">
            <v>0</v>
          </cell>
          <cell r="G34">
            <v>0</v>
          </cell>
          <cell r="H34">
            <v>0</v>
          </cell>
          <cell r="I34">
            <v>0</v>
          </cell>
          <cell r="J34">
            <v>0</v>
          </cell>
          <cell r="K34">
            <v>0</v>
          </cell>
          <cell r="L34">
            <v>0</v>
          </cell>
          <cell r="M34">
            <v>0</v>
          </cell>
          <cell r="N34">
            <v>0</v>
          </cell>
          <cell r="O34">
            <v>0</v>
          </cell>
          <cell r="P34">
            <v>0</v>
          </cell>
          <cell r="Q34">
            <v>1035</v>
          </cell>
          <cell r="R34">
            <v>1035</v>
          </cell>
          <cell r="S34">
            <v>0</v>
          </cell>
        </row>
        <row r="35">
          <cell r="E35" t="str">
            <v>Portfolio Administration-Total</v>
          </cell>
          <cell r="F35">
            <v>291.66000000000003</v>
          </cell>
          <cell r="G35">
            <v>291.66000000000003</v>
          </cell>
          <cell r="H35">
            <v>291.66000000000003</v>
          </cell>
          <cell r="I35">
            <v>291.66000000000003</v>
          </cell>
          <cell r="J35">
            <v>5432.66</v>
          </cell>
          <cell r="K35">
            <v>5432.66</v>
          </cell>
          <cell r="L35">
            <v>5432.66</v>
          </cell>
          <cell r="M35">
            <v>5432.66</v>
          </cell>
          <cell r="N35">
            <v>5432.66</v>
          </cell>
          <cell r="O35">
            <v>5432.66</v>
          </cell>
          <cell r="P35">
            <v>5432.66</v>
          </cell>
          <cell r="Q35">
            <v>5432.66</v>
          </cell>
          <cell r="R35">
            <v>44627.92</v>
          </cell>
          <cell r="S35">
            <v>28329.94</v>
          </cell>
        </row>
        <row r="36">
          <cell r="E36" t="str">
            <v>Portfolio Administration-Lighting Carryover</v>
          </cell>
          <cell r="J36">
            <v>5141</v>
          </cell>
          <cell r="K36">
            <v>5141</v>
          </cell>
          <cell r="L36">
            <v>5141</v>
          </cell>
          <cell r="M36">
            <v>5141</v>
          </cell>
          <cell r="N36">
            <v>5141</v>
          </cell>
          <cell r="O36">
            <v>5141</v>
          </cell>
          <cell r="P36">
            <v>5141</v>
          </cell>
          <cell r="Q36">
            <v>5141</v>
          </cell>
          <cell r="R36">
            <v>41128</v>
          </cell>
          <cell r="S36">
            <v>25705</v>
          </cell>
        </row>
        <row r="37">
          <cell r="E37" t="str">
            <v>Portfolio Administration-R&amp;D</v>
          </cell>
          <cell r="F37">
            <v>291.66000000000003</v>
          </cell>
          <cell r="G37">
            <v>291.66000000000003</v>
          </cell>
          <cell r="H37">
            <v>291.66000000000003</v>
          </cell>
          <cell r="I37">
            <v>291.66000000000003</v>
          </cell>
          <cell r="J37">
            <v>291.66000000000003</v>
          </cell>
          <cell r="K37">
            <v>291.66000000000003</v>
          </cell>
          <cell r="L37">
            <v>291.66000000000003</v>
          </cell>
          <cell r="M37">
            <v>291.66000000000003</v>
          </cell>
          <cell r="N37">
            <v>291.66000000000003</v>
          </cell>
          <cell r="O37">
            <v>291.66000000000003</v>
          </cell>
          <cell r="P37">
            <v>291.66000000000003</v>
          </cell>
          <cell r="Q37">
            <v>291.66000000000003</v>
          </cell>
          <cell r="R37">
            <v>3499.9199999999996</v>
          </cell>
          <cell r="S37">
            <v>2624.94</v>
          </cell>
        </row>
        <row r="38">
          <cell r="E38" t="str">
            <v>Total-</v>
          </cell>
          <cell r="F38">
            <v>2341</v>
          </cell>
          <cell r="G38">
            <v>983</v>
          </cell>
          <cell r="H38">
            <v>2385</v>
          </cell>
          <cell r="I38">
            <v>6590</v>
          </cell>
          <cell r="J38">
            <v>25081.999999999996</v>
          </cell>
          <cell r="K38">
            <v>5431</v>
          </cell>
          <cell r="L38">
            <v>10882</v>
          </cell>
          <cell r="M38">
            <v>5418</v>
          </cell>
          <cell r="N38">
            <v>0</v>
          </cell>
          <cell r="O38">
            <v>43724</v>
          </cell>
          <cell r="P38">
            <v>16227.000000000002</v>
          </cell>
          <cell r="Q38">
            <v>0</v>
          </cell>
          <cell r="R38">
            <v>119063</v>
          </cell>
          <cell r="S38">
            <v>59112</v>
          </cell>
        </row>
        <row r="39">
          <cell r="E39" t="str">
            <v>Voltage Optimization-Total</v>
          </cell>
          <cell r="F39">
            <v>2341</v>
          </cell>
          <cell r="G39">
            <v>983</v>
          </cell>
          <cell r="H39">
            <v>2385</v>
          </cell>
          <cell r="I39">
            <v>6590</v>
          </cell>
          <cell r="J39">
            <v>25081.999999999996</v>
          </cell>
          <cell r="K39">
            <v>5431</v>
          </cell>
          <cell r="L39">
            <v>10882</v>
          </cell>
          <cell r="M39">
            <v>5418</v>
          </cell>
          <cell r="N39">
            <v>0</v>
          </cell>
          <cell r="O39">
            <v>43724</v>
          </cell>
          <cell r="P39">
            <v>16227.000000000002</v>
          </cell>
          <cell r="Q39">
            <v>0</v>
          </cell>
          <cell r="R39">
            <v>119063</v>
          </cell>
          <cell r="S39">
            <v>59112</v>
          </cell>
        </row>
        <row r="40">
          <cell r="E40" t="str">
            <v>Voltage Optimization-Voltage Optimization</v>
          </cell>
          <cell r="F40">
            <v>2341</v>
          </cell>
          <cell r="G40">
            <v>983</v>
          </cell>
          <cell r="H40">
            <v>2385</v>
          </cell>
          <cell r="I40">
            <v>6590</v>
          </cell>
          <cell r="J40">
            <v>25081.999999999996</v>
          </cell>
          <cell r="K40">
            <v>5431</v>
          </cell>
          <cell r="L40">
            <v>10882</v>
          </cell>
          <cell r="M40">
            <v>5418</v>
          </cell>
          <cell r="N40">
            <v>0</v>
          </cell>
          <cell r="O40">
            <v>43724</v>
          </cell>
          <cell r="P40">
            <v>16227.000000000002</v>
          </cell>
          <cell r="Q40">
            <v>0</v>
          </cell>
          <cell r="R40">
            <v>119063</v>
          </cell>
          <cell r="S40">
            <v>59112</v>
          </cell>
        </row>
        <row r="41">
          <cell r="E41" t="str">
            <v>-</v>
          </cell>
          <cell r="F41">
            <v>51205.5</v>
          </cell>
          <cell r="G41">
            <v>66010.34</v>
          </cell>
          <cell r="H41">
            <v>72133.42</v>
          </cell>
          <cell r="I41">
            <v>62289.9</v>
          </cell>
          <cell r="J41">
            <v>79084.5</v>
          </cell>
          <cell r="K41">
            <v>62811.810000000005</v>
          </cell>
          <cell r="L41">
            <v>67622.86</v>
          </cell>
          <cell r="M41">
            <v>77940.899999999994</v>
          </cell>
          <cell r="N41">
            <v>66799.649999999994</v>
          </cell>
          <cell r="O41">
            <v>60959.810000000005</v>
          </cell>
          <cell r="P41">
            <v>70247.34</v>
          </cell>
          <cell r="Q41">
            <v>38709.51</v>
          </cell>
          <cell r="R41">
            <v>775815.53999999992</v>
          </cell>
          <cell r="S41">
            <v>605898.88</v>
          </cell>
        </row>
        <row r="42">
          <cell r="E42" t="str">
            <v>Total-</v>
          </cell>
          <cell r="F42">
            <v>39275.5</v>
          </cell>
          <cell r="G42">
            <v>55390.34</v>
          </cell>
          <cell r="H42">
            <v>60399.42</v>
          </cell>
          <cell r="I42">
            <v>50662.9</v>
          </cell>
          <cell r="J42">
            <v>66138.5</v>
          </cell>
          <cell r="K42">
            <v>48861.810000000005</v>
          </cell>
          <cell r="L42">
            <v>54022.86</v>
          </cell>
          <cell r="M42">
            <v>62860.9</v>
          </cell>
          <cell r="N42">
            <v>54200.65</v>
          </cell>
          <cell r="O42">
            <v>48556.810000000005</v>
          </cell>
          <cell r="P42">
            <v>58321.34</v>
          </cell>
          <cell r="Q42">
            <v>26035.510000000002</v>
          </cell>
          <cell r="R42">
            <v>624726.53999999992</v>
          </cell>
          <cell r="S42">
            <v>491812.88000000006</v>
          </cell>
        </row>
        <row r="43">
          <cell r="E43" t="str">
            <v>Contractor/Midstream Rebates-Total</v>
          </cell>
          <cell r="F43">
            <v>2763</v>
          </cell>
          <cell r="G43">
            <v>4131</v>
          </cell>
          <cell r="H43">
            <v>1558</v>
          </cell>
          <cell r="I43">
            <v>1815</v>
          </cell>
          <cell r="J43">
            <v>1127</v>
          </cell>
          <cell r="K43">
            <v>1620</v>
          </cell>
          <cell r="L43">
            <v>2170</v>
          </cell>
          <cell r="M43">
            <v>2793</v>
          </cell>
          <cell r="N43">
            <v>1424</v>
          </cell>
          <cell r="O43">
            <v>1928</v>
          </cell>
          <cell r="P43">
            <v>1770</v>
          </cell>
          <cell r="Q43">
            <v>678</v>
          </cell>
          <cell r="R43">
            <v>23777</v>
          </cell>
          <cell r="S43">
            <v>19401</v>
          </cell>
        </row>
        <row r="44">
          <cell r="E44" t="str">
            <v>Contractor/Midstream Rebates-Contractor/Midstream Rebates</v>
          </cell>
          <cell r="F44">
            <v>2763</v>
          </cell>
          <cell r="G44">
            <v>4131</v>
          </cell>
          <cell r="H44">
            <v>1558</v>
          </cell>
          <cell r="I44">
            <v>1815</v>
          </cell>
          <cell r="J44">
            <v>1127</v>
          </cell>
          <cell r="K44">
            <v>1620</v>
          </cell>
          <cell r="L44">
            <v>2170</v>
          </cell>
          <cell r="M44">
            <v>2793</v>
          </cell>
          <cell r="N44">
            <v>1424</v>
          </cell>
          <cell r="O44">
            <v>1928</v>
          </cell>
          <cell r="P44">
            <v>1770</v>
          </cell>
          <cell r="Q44">
            <v>678</v>
          </cell>
          <cell r="R44">
            <v>23777</v>
          </cell>
          <cell r="S44">
            <v>19401</v>
          </cell>
        </row>
        <row r="45">
          <cell r="E45" t="str">
            <v>Product Distribution-Total</v>
          </cell>
          <cell r="F45">
            <v>14566.06</v>
          </cell>
          <cell r="G45">
            <v>19544.989999999998</v>
          </cell>
          <cell r="H45">
            <v>23356.22</v>
          </cell>
          <cell r="I45">
            <v>27075.39</v>
          </cell>
          <cell r="J45">
            <v>25722.7</v>
          </cell>
          <cell r="K45">
            <v>23636.050000000003</v>
          </cell>
          <cell r="L45">
            <v>25439.25</v>
          </cell>
          <cell r="M45">
            <v>25886.93</v>
          </cell>
          <cell r="N45">
            <v>27567.75</v>
          </cell>
          <cell r="O45">
            <v>23016.120000000003</v>
          </cell>
          <cell r="P45">
            <v>21847.160000000003</v>
          </cell>
          <cell r="Q45">
            <v>6113.3099999999995</v>
          </cell>
          <cell r="R45">
            <v>263771.93</v>
          </cell>
          <cell r="S45">
            <v>212795.34</v>
          </cell>
        </row>
        <row r="46">
          <cell r="E46" t="str">
            <v>Product Distribution-Elementary Education - IE</v>
          </cell>
          <cell r="F46">
            <v>0</v>
          </cell>
          <cell r="G46">
            <v>791.95</v>
          </cell>
          <cell r="H46">
            <v>1218.3699999999999</v>
          </cell>
          <cell r="I46">
            <v>1543.7</v>
          </cell>
          <cell r="J46">
            <v>355.52</v>
          </cell>
          <cell r="K46">
            <v>0</v>
          </cell>
          <cell r="L46">
            <v>0</v>
          </cell>
          <cell r="M46">
            <v>948.26</v>
          </cell>
          <cell r="N46">
            <v>2461.11</v>
          </cell>
          <cell r="O46">
            <v>367.18</v>
          </cell>
          <cell r="P46">
            <v>361.81</v>
          </cell>
          <cell r="Q46">
            <v>140.94999999999999</v>
          </cell>
          <cell r="R46">
            <v>8188.8500000000013</v>
          </cell>
          <cell r="S46">
            <v>7318.91</v>
          </cell>
        </row>
        <row r="47">
          <cell r="E47" t="str">
            <v>Product Distribution-Food Bank</v>
          </cell>
          <cell r="F47">
            <v>12622.07</v>
          </cell>
          <cell r="G47">
            <v>13700.56</v>
          </cell>
          <cell r="H47">
            <v>18445.16</v>
          </cell>
          <cell r="I47">
            <v>21584.27</v>
          </cell>
          <cell r="J47">
            <v>21947.02</v>
          </cell>
          <cell r="K47">
            <v>21061.15</v>
          </cell>
          <cell r="L47">
            <v>23978.83</v>
          </cell>
          <cell r="M47">
            <v>23099.02</v>
          </cell>
          <cell r="N47">
            <v>22456.41</v>
          </cell>
          <cell r="O47">
            <v>19707.960000000003</v>
          </cell>
          <cell r="P47">
            <v>17553.560000000001</v>
          </cell>
          <cell r="Q47">
            <v>5881.9299999999994</v>
          </cell>
          <cell r="R47">
            <v>222037.94</v>
          </cell>
          <cell r="S47">
            <v>178894.49</v>
          </cell>
        </row>
        <row r="48">
          <cell r="E48" t="str">
            <v>Product Distribution-IE Kits</v>
          </cell>
          <cell r="F48">
            <v>1943.99</v>
          </cell>
          <cell r="G48">
            <v>4327.0700000000006</v>
          </cell>
          <cell r="H48">
            <v>2808.35</v>
          </cell>
          <cell r="I48">
            <v>3136.76</v>
          </cell>
          <cell r="J48">
            <v>3206.44</v>
          </cell>
          <cell r="K48">
            <v>2574.9</v>
          </cell>
          <cell r="L48">
            <v>1460.42</v>
          </cell>
          <cell r="M48">
            <v>1526.13</v>
          </cell>
          <cell r="N48">
            <v>2263.2399999999998</v>
          </cell>
          <cell r="O48">
            <v>2754.46</v>
          </cell>
          <cell r="P48">
            <v>3798.88</v>
          </cell>
          <cell r="Q48">
            <v>0</v>
          </cell>
          <cell r="R48">
            <v>29800.640000000003</v>
          </cell>
          <cell r="S48">
            <v>23247.300000000003</v>
          </cell>
        </row>
        <row r="49">
          <cell r="E49" t="str">
            <v>Product Distribution-Product Distribution - Market Rate</v>
          </cell>
          <cell r="F49">
            <v>0</v>
          </cell>
          <cell r="G49">
            <v>725.41</v>
          </cell>
          <cell r="H49">
            <v>884.34</v>
          </cell>
          <cell r="I49">
            <v>810.66</v>
          </cell>
          <cell r="J49">
            <v>213.72</v>
          </cell>
          <cell r="K49">
            <v>0</v>
          </cell>
          <cell r="L49">
            <v>0</v>
          </cell>
          <cell r="M49">
            <v>313.52</v>
          </cell>
          <cell r="N49">
            <v>386.99</v>
          </cell>
          <cell r="O49">
            <v>186.52</v>
          </cell>
          <cell r="P49">
            <v>132.91</v>
          </cell>
          <cell r="Q49">
            <v>90.43</v>
          </cell>
          <cell r="R49">
            <v>3744.4999999999995</v>
          </cell>
          <cell r="S49">
            <v>3334.6399999999994</v>
          </cell>
        </row>
        <row r="50">
          <cell r="E50" t="str">
            <v>Residential New Construction-Total</v>
          </cell>
          <cell r="F50">
            <v>140.44</v>
          </cell>
          <cell r="G50">
            <v>222.35</v>
          </cell>
          <cell r="H50">
            <v>10.61</v>
          </cell>
          <cell r="I50">
            <v>23.58</v>
          </cell>
          <cell r="J50">
            <v>104.56</v>
          </cell>
          <cell r="K50">
            <v>123.75999999999999</v>
          </cell>
          <cell r="L50">
            <v>758.71</v>
          </cell>
          <cell r="M50">
            <v>20.57</v>
          </cell>
          <cell r="N50">
            <v>631.92000000000007</v>
          </cell>
          <cell r="O50">
            <v>355.69000000000005</v>
          </cell>
          <cell r="P50">
            <v>199.81</v>
          </cell>
          <cell r="Q50">
            <v>1066.4000000000001</v>
          </cell>
          <cell r="R50">
            <v>3658.4000000000005</v>
          </cell>
          <cell r="S50">
            <v>2036.5</v>
          </cell>
        </row>
        <row r="51">
          <cell r="E51" t="str">
            <v>Residential New Construction-Affordable Housing New Construction</v>
          </cell>
          <cell r="F51">
            <v>140.44</v>
          </cell>
          <cell r="G51">
            <v>214.89</v>
          </cell>
          <cell r="H51">
            <v>0</v>
          </cell>
          <cell r="I51">
            <v>0</v>
          </cell>
          <cell r="J51">
            <v>74.38</v>
          </cell>
          <cell r="K51">
            <v>89.97</v>
          </cell>
          <cell r="L51">
            <v>746.22</v>
          </cell>
          <cell r="M51">
            <v>0</v>
          </cell>
          <cell r="N51">
            <v>615.47</v>
          </cell>
          <cell r="O51">
            <v>305.91000000000003</v>
          </cell>
          <cell r="P51">
            <v>190.31</v>
          </cell>
          <cell r="Q51">
            <v>983.57</v>
          </cell>
          <cell r="R51">
            <v>3361.1600000000008</v>
          </cell>
          <cell r="S51">
            <v>1881.3700000000001</v>
          </cell>
        </row>
        <row r="52">
          <cell r="E52" t="str">
            <v>Residential New Construction-All-Electric New Construction</v>
          </cell>
          <cell r="F52">
            <v>0</v>
          </cell>
          <cell r="G52">
            <v>7.46</v>
          </cell>
          <cell r="H52">
            <v>10.61</v>
          </cell>
          <cell r="I52">
            <v>23.58</v>
          </cell>
          <cell r="J52">
            <v>30.18</v>
          </cell>
          <cell r="K52">
            <v>33.79</v>
          </cell>
          <cell r="L52">
            <v>12.49</v>
          </cell>
          <cell r="M52">
            <v>20.57</v>
          </cell>
          <cell r="N52">
            <v>16.45</v>
          </cell>
          <cell r="O52">
            <v>49.78</v>
          </cell>
          <cell r="P52">
            <v>9.5</v>
          </cell>
          <cell r="Q52">
            <v>82.83</v>
          </cell>
          <cell r="R52">
            <v>297.24</v>
          </cell>
          <cell r="S52">
            <v>155.13</v>
          </cell>
        </row>
        <row r="53">
          <cell r="E53" t="str">
            <v>Retail/Online-Total</v>
          </cell>
          <cell r="F53">
            <v>21806</v>
          </cell>
          <cell r="G53">
            <v>31492</v>
          </cell>
          <cell r="H53">
            <v>35474.589999999997</v>
          </cell>
          <cell r="I53">
            <v>21748.93</v>
          </cell>
          <cell r="J53">
            <v>39184.240000000005</v>
          </cell>
          <cell r="K53">
            <v>23482</v>
          </cell>
          <cell r="L53">
            <v>25654.9</v>
          </cell>
          <cell r="M53">
            <v>34160.400000000001</v>
          </cell>
          <cell r="N53">
            <v>24576.980000000003</v>
          </cell>
          <cell r="O53">
            <v>23257</v>
          </cell>
          <cell r="P53">
            <v>34504.369999999995</v>
          </cell>
          <cell r="Q53">
            <v>18177.8</v>
          </cell>
          <cell r="R53">
            <v>333519.20999999996</v>
          </cell>
          <cell r="S53">
            <v>257580.04</v>
          </cell>
        </row>
        <row r="54">
          <cell r="E54" t="str">
            <v>Retail/Online-Marketplace Non-Lighting</v>
          </cell>
          <cell r="F54">
            <v>472</v>
          </cell>
          <cell r="G54">
            <v>251</v>
          </cell>
          <cell r="H54">
            <v>139</v>
          </cell>
          <cell r="I54">
            <v>375</v>
          </cell>
          <cell r="J54">
            <v>481</v>
          </cell>
          <cell r="K54">
            <v>434</v>
          </cell>
          <cell r="L54">
            <v>532</v>
          </cell>
          <cell r="M54">
            <v>408</v>
          </cell>
          <cell r="N54">
            <v>253</v>
          </cell>
          <cell r="O54">
            <v>801</v>
          </cell>
          <cell r="R54">
            <v>4146</v>
          </cell>
          <cell r="S54">
            <v>3345</v>
          </cell>
        </row>
        <row r="55">
          <cell r="E55" t="str">
            <v>Retail/Online-Retail - Income Eligible</v>
          </cell>
          <cell r="F55">
            <v>14438</v>
          </cell>
          <cell r="G55">
            <v>11445</v>
          </cell>
          <cell r="H55">
            <v>21223</v>
          </cell>
          <cell r="I55">
            <v>19207</v>
          </cell>
          <cell r="J55">
            <v>16907</v>
          </cell>
          <cell r="K55">
            <v>11928</v>
          </cell>
          <cell r="L55">
            <v>15432</v>
          </cell>
          <cell r="M55">
            <v>20592</v>
          </cell>
          <cell r="N55">
            <v>14575.000000000002</v>
          </cell>
          <cell r="O55">
            <v>12432</v>
          </cell>
          <cell r="P55">
            <v>22332</v>
          </cell>
          <cell r="Q55">
            <v>16080.999999999998</v>
          </cell>
          <cell r="R55">
            <v>196592</v>
          </cell>
          <cell r="S55">
            <v>145747</v>
          </cell>
        </row>
        <row r="56">
          <cell r="E56" t="str">
            <v>Retail/Online-Retail - Market Rate</v>
          </cell>
          <cell r="F56">
            <v>6896</v>
          </cell>
          <cell r="G56">
            <v>19796</v>
          </cell>
          <cell r="H56">
            <v>12376</v>
          </cell>
          <cell r="I56">
            <v>1245</v>
          </cell>
          <cell r="J56">
            <v>21327</v>
          </cell>
          <cell r="K56">
            <v>8961</v>
          </cell>
          <cell r="L56">
            <v>8994</v>
          </cell>
          <cell r="M56">
            <v>11586</v>
          </cell>
          <cell r="N56">
            <v>9158</v>
          </cell>
          <cell r="O56">
            <v>8381</v>
          </cell>
          <cell r="P56">
            <v>10740</v>
          </cell>
          <cell r="Q56">
            <v>947</v>
          </cell>
          <cell r="R56">
            <v>120407</v>
          </cell>
          <cell r="S56">
            <v>100339</v>
          </cell>
        </row>
        <row r="57">
          <cell r="E57" t="str">
            <v>Retail/Online-Retail Products Platform</v>
          </cell>
          <cell r="F57">
            <v>0</v>
          </cell>
          <cell r="G57">
            <v>0</v>
          </cell>
          <cell r="H57">
            <v>1736.59</v>
          </cell>
          <cell r="I57">
            <v>921.93</v>
          </cell>
          <cell r="J57">
            <v>469.24</v>
          </cell>
          <cell r="K57">
            <v>2159</v>
          </cell>
          <cell r="L57">
            <v>696.9</v>
          </cell>
          <cell r="M57">
            <v>1574.4</v>
          </cell>
          <cell r="N57">
            <v>590.98</v>
          </cell>
          <cell r="O57">
            <v>1643</v>
          </cell>
          <cell r="P57">
            <v>1432.37</v>
          </cell>
          <cell r="Q57">
            <v>1149.8</v>
          </cell>
          <cell r="R57">
            <v>12374.21</v>
          </cell>
          <cell r="S57">
            <v>8149.0399999999991</v>
          </cell>
        </row>
        <row r="58">
          <cell r="E58" t="str">
            <v>Total-</v>
          </cell>
          <cell r="F58">
            <v>2092</v>
          </cell>
          <cell r="G58">
            <v>2271</v>
          </cell>
          <cell r="H58">
            <v>3799</v>
          </cell>
          <cell r="I58">
            <v>4356</v>
          </cell>
          <cell r="J58">
            <v>4688</v>
          </cell>
          <cell r="K58">
            <v>4393</v>
          </cell>
          <cell r="L58">
            <v>3620</v>
          </cell>
          <cell r="M58">
            <v>4979</v>
          </cell>
          <cell r="N58">
            <v>4467</v>
          </cell>
          <cell r="O58">
            <v>5278</v>
          </cell>
          <cell r="P58">
            <v>4376</v>
          </cell>
          <cell r="Q58">
            <v>3769</v>
          </cell>
          <cell r="R58">
            <v>48088</v>
          </cell>
          <cell r="S58">
            <v>34665</v>
          </cell>
        </row>
        <row r="59">
          <cell r="E59" t="str">
            <v>Multi-Family Upgrades-Total</v>
          </cell>
          <cell r="F59">
            <v>1066</v>
          </cell>
          <cell r="G59">
            <v>1058</v>
          </cell>
          <cell r="H59">
            <v>2528</v>
          </cell>
          <cell r="I59">
            <v>2884</v>
          </cell>
          <cell r="J59">
            <v>3456</v>
          </cell>
          <cell r="K59">
            <v>2999</v>
          </cell>
          <cell r="L59">
            <v>2385</v>
          </cell>
          <cell r="M59">
            <v>3573</v>
          </cell>
          <cell r="N59">
            <v>3470</v>
          </cell>
          <cell r="O59">
            <v>3868</v>
          </cell>
          <cell r="P59">
            <v>2795</v>
          </cell>
          <cell r="Q59">
            <v>2651</v>
          </cell>
          <cell r="R59">
            <v>32733</v>
          </cell>
          <cell r="S59">
            <v>23419</v>
          </cell>
        </row>
        <row r="60">
          <cell r="E60" t="str">
            <v>Multi-Family Upgrades-Income Eligible</v>
          </cell>
          <cell r="F60">
            <v>1037</v>
          </cell>
          <cell r="G60">
            <v>894</v>
          </cell>
          <cell r="H60">
            <v>2322</v>
          </cell>
          <cell r="I60">
            <v>2468</v>
          </cell>
          <cell r="J60">
            <v>3036</v>
          </cell>
          <cell r="K60">
            <v>2569</v>
          </cell>
          <cell r="L60">
            <v>1855</v>
          </cell>
          <cell r="M60">
            <v>2688</v>
          </cell>
          <cell r="N60">
            <v>2949</v>
          </cell>
          <cell r="O60">
            <v>3209</v>
          </cell>
          <cell r="P60">
            <v>1857</v>
          </cell>
          <cell r="Q60">
            <v>1988</v>
          </cell>
          <cell r="R60">
            <v>26872</v>
          </cell>
          <cell r="S60">
            <v>19818</v>
          </cell>
        </row>
        <row r="61">
          <cell r="E61" t="str">
            <v>Multi-Family Upgrades-Market Rate</v>
          </cell>
          <cell r="F61">
            <v>0</v>
          </cell>
          <cell r="G61">
            <v>16</v>
          </cell>
          <cell r="H61">
            <v>93</v>
          </cell>
          <cell r="I61">
            <v>357</v>
          </cell>
          <cell r="J61">
            <v>363</v>
          </cell>
          <cell r="K61">
            <v>430</v>
          </cell>
          <cell r="L61">
            <v>353</v>
          </cell>
          <cell r="M61">
            <v>662</v>
          </cell>
          <cell r="N61">
            <v>467</v>
          </cell>
          <cell r="O61">
            <v>632</v>
          </cell>
          <cell r="P61">
            <v>924</v>
          </cell>
          <cell r="Q61">
            <v>623</v>
          </cell>
          <cell r="R61">
            <v>4920</v>
          </cell>
          <cell r="S61">
            <v>2741</v>
          </cell>
        </row>
        <row r="62">
          <cell r="E62" t="str">
            <v>Multi-Family Upgrades-Public Housing</v>
          </cell>
          <cell r="F62">
            <v>29</v>
          </cell>
          <cell r="G62">
            <v>148</v>
          </cell>
          <cell r="H62">
            <v>113</v>
          </cell>
          <cell r="I62">
            <v>59</v>
          </cell>
          <cell r="J62">
            <v>57</v>
          </cell>
          <cell r="K62">
            <v>0</v>
          </cell>
          <cell r="L62">
            <v>177</v>
          </cell>
          <cell r="M62">
            <v>223</v>
          </cell>
          <cell r="N62">
            <v>54</v>
          </cell>
          <cell r="O62">
            <v>27</v>
          </cell>
          <cell r="P62">
            <v>14</v>
          </cell>
          <cell r="Q62">
            <v>40</v>
          </cell>
          <cell r="R62">
            <v>941</v>
          </cell>
          <cell r="S62">
            <v>860</v>
          </cell>
        </row>
        <row r="63">
          <cell r="E63" t="str">
            <v>Single-Family Upgrades-Total</v>
          </cell>
          <cell r="F63">
            <v>1026</v>
          </cell>
          <cell r="G63">
            <v>1182</v>
          </cell>
          <cell r="H63">
            <v>1177</v>
          </cell>
          <cell r="I63">
            <v>1464</v>
          </cell>
          <cell r="J63">
            <v>1176</v>
          </cell>
          <cell r="K63">
            <v>1352</v>
          </cell>
          <cell r="L63">
            <v>1023</v>
          </cell>
          <cell r="M63">
            <v>1306</v>
          </cell>
          <cell r="N63">
            <v>916</v>
          </cell>
          <cell r="O63">
            <v>1306</v>
          </cell>
          <cell r="P63">
            <v>1384</v>
          </cell>
          <cell r="Q63">
            <v>989</v>
          </cell>
          <cell r="R63">
            <v>14301</v>
          </cell>
          <cell r="S63">
            <v>10622</v>
          </cell>
        </row>
        <row r="64">
          <cell r="E64" t="str">
            <v>Single-Family Upgrades-Home Energy Assessment - IE</v>
          </cell>
          <cell r="F64">
            <v>688</v>
          </cell>
          <cell r="G64">
            <v>901</v>
          </cell>
          <cell r="H64">
            <v>831</v>
          </cell>
          <cell r="I64">
            <v>935</v>
          </cell>
          <cell r="J64">
            <v>836</v>
          </cell>
          <cell r="K64">
            <v>932</v>
          </cell>
          <cell r="L64">
            <v>701</v>
          </cell>
          <cell r="M64">
            <v>984</v>
          </cell>
          <cell r="N64">
            <v>638</v>
          </cell>
          <cell r="O64">
            <v>868</v>
          </cell>
          <cell r="P64">
            <v>885</v>
          </cell>
          <cell r="Q64">
            <v>558</v>
          </cell>
          <cell r="R64">
            <v>9757</v>
          </cell>
          <cell r="S64">
            <v>7446</v>
          </cell>
        </row>
        <row r="65">
          <cell r="E65" t="str">
            <v>Single-Family Upgrades-Home Energy Assessment - MR</v>
          </cell>
          <cell r="F65">
            <v>69</v>
          </cell>
          <cell r="G65">
            <v>84</v>
          </cell>
          <cell r="H65">
            <v>67</v>
          </cell>
          <cell r="I65">
            <v>85</v>
          </cell>
          <cell r="J65">
            <v>45</v>
          </cell>
          <cell r="K65">
            <v>55</v>
          </cell>
          <cell r="L65">
            <v>21</v>
          </cell>
          <cell r="M65">
            <v>48</v>
          </cell>
          <cell r="N65">
            <v>41</v>
          </cell>
          <cell r="O65">
            <v>113</v>
          </cell>
          <cell r="P65">
            <v>113</v>
          </cell>
          <cell r="Q65">
            <v>63</v>
          </cell>
          <cell r="R65">
            <v>804</v>
          </cell>
          <cell r="S65">
            <v>515</v>
          </cell>
        </row>
        <row r="66">
          <cell r="E66" t="str">
            <v>Single-Family Upgrades-Income Eligible Retrofits</v>
          </cell>
          <cell r="F66">
            <v>269</v>
          </cell>
          <cell r="G66">
            <v>197</v>
          </cell>
          <cell r="H66">
            <v>279</v>
          </cell>
          <cell r="I66">
            <v>444</v>
          </cell>
          <cell r="J66">
            <v>295</v>
          </cell>
          <cell r="K66">
            <v>365</v>
          </cell>
          <cell r="L66">
            <v>301</v>
          </cell>
          <cell r="M66">
            <v>274</v>
          </cell>
          <cell r="N66">
            <v>237</v>
          </cell>
          <cell r="O66">
            <v>325</v>
          </cell>
          <cell r="P66">
            <v>386</v>
          </cell>
          <cell r="Q66">
            <v>368</v>
          </cell>
          <cell r="R66">
            <v>3740</v>
          </cell>
          <cell r="S66">
            <v>2661</v>
          </cell>
        </row>
        <row r="67">
          <cell r="E67" t="str">
            <v>Whole Home Electric-Total</v>
          </cell>
          <cell r="F67">
            <v>0</v>
          </cell>
          <cell r="G67">
            <v>31</v>
          </cell>
          <cell r="H67">
            <v>94</v>
          </cell>
          <cell r="I67">
            <v>8</v>
          </cell>
          <cell r="J67">
            <v>56</v>
          </cell>
          <cell r="K67">
            <v>42</v>
          </cell>
          <cell r="L67">
            <v>212</v>
          </cell>
          <cell r="M67">
            <v>100</v>
          </cell>
          <cell r="N67">
            <v>81</v>
          </cell>
          <cell r="O67">
            <v>104</v>
          </cell>
          <cell r="P67">
            <v>197</v>
          </cell>
          <cell r="Q67">
            <v>129</v>
          </cell>
          <cell r="R67">
            <v>1054</v>
          </cell>
          <cell r="S67">
            <v>624</v>
          </cell>
        </row>
        <row r="68">
          <cell r="E68" t="str">
            <v>Whole Home Electric-Multi-Family IE (non-fuel switch)</v>
          </cell>
          <cell r="F68">
            <v>0</v>
          </cell>
          <cell r="G68">
            <v>0</v>
          </cell>
          <cell r="H68">
            <v>0</v>
          </cell>
          <cell r="I68">
            <v>0</v>
          </cell>
          <cell r="J68">
            <v>0</v>
          </cell>
          <cell r="K68">
            <v>0</v>
          </cell>
          <cell r="L68">
            <v>141</v>
          </cell>
          <cell r="M68">
            <v>0</v>
          </cell>
          <cell r="N68">
            <v>0</v>
          </cell>
          <cell r="O68">
            <v>0</v>
          </cell>
          <cell r="P68">
            <v>146</v>
          </cell>
          <cell r="Q68">
            <v>93</v>
          </cell>
          <cell r="R68">
            <v>380</v>
          </cell>
          <cell r="S68">
            <v>141</v>
          </cell>
        </row>
        <row r="69">
          <cell r="E69" t="str">
            <v>Whole Home Electric-Single-Family IE (non-fuel switch)</v>
          </cell>
          <cell r="F69">
            <v>0</v>
          </cell>
          <cell r="G69">
            <v>31</v>
          </cell>
          <cell r="H69">
            <v>94</v>
          </cell>
          <cell r="I69">
            <v>8</v>
          </cell>
          <cell r="J69">
            <v>56</v>
          </cell>
          <cell r="K69">
            <v>42</v>
          </cell>
          <cell r="L69">
            <v>71</v>
          </cell>
          <cell r="M69">
            <v>100</v>
          </cell>
          <cell r="N69">
            <v>81</v>
          </cell>
          <cell r="O69">
            <v>104</v>
          </cell>
          <cell r="P69">
            <v>51</v>
          </cell>
          <cell r="Q69">
            <v>36</v>
          </cell>
          <cell r="R69">
            <v>674</v>
          </cell>
          <cell r="S69">
            <v>483</v>
          </cell>
        </row>
        <row r="70">
          <cell r="E70" t="str">
            <v>Total-</v>
          </cell>
          <cell r="F70">
            <v>9838</v>
          </cell>
          <cell r="G70">
            <v>8349</v>
          </cell>
          <cell r="H70">
            <v>7935</v>
          </cell>
          <cell r="I70">
            <v>7271</v>
          </cell>
          <cell r="J70">
            <v>8258</v>
          </cell>
          <cell r="K70">
            <v>9557</v>
          </cell>
          <cell r="L70">
            <v>9980</v>
          </cell>
          <cell r="M70">
            <v>10101</v>
          </cell>
          <cell r="N70">
            <v>8132</v>
          </cell>
          <cell r="O70">
            <v>7125</v>
          </cell>
          <cell r="P70">
            <v>7550</v>
          </cell>
          <cell r="Q70">
            <v>8905</v>
          </cell>
          <cell r="R70">
            <v>103001</v>
          </cell>
          <cell r="S70">
            <v>79421</v>
          </cell>
        </row>
        <row r="71">
          <cell r="E71" t="str">
            <v>Behavior - Res/IE-Total</v>
          </cell>
          <cell r="F71">
            <v>9838</v>
          </cell>
          <cell r="G71">
            <v>8349</v>
          </cell>
          <cell r="H71">
            <v>7935</v>
          </cell>
          <cell r="I71">
            <v>7271</v>
          </cell>
          <cell r="J71">
            <v>8258</v>
          </cell>
          <cell r="K71">
            <v>9557</v>
          </cell>
          <cell r="L71">
            <v>9980</v>
          </cell>
          <cell r="M71">
            <v>10101</v>
          </cell>
          <cell r="N71">
            <v>8132</v>
          </cell>
          <cell r="O71">
            <v>7125</v>
          </cell>
          <cell r="P71">
            <v>7550</v>
          </cell>
          <cell r="Q71">
            <v>8905</v>
          </cell>
          <cell r="R71">
            <v>103001</v>
          </cell>
          <cell r="S71">
            <v>79421</v>
          </cell>
        </row>
        <row r="72">
          <cell r="E72" t="str">
            <v>Behavior - Res/IE-Home Energy Report</v>
          </cell>
          <cell r="F72">
            <v>9838</v>
          </cell>
          <cell r="G72">
            <v>8349</v>
          </cell>
          <cell r="H72">
            <v>7935</v>
          </cell>
          <cell r="I72">
            <v>7271</v>
          </cell>
          <cell r="J72">
            <v>8258</v>
          </cell>
          <cell r="K72">
            <v>9557</v>
          </cell>
          <cell r="L72">
            <v>9980</v>
          </cell>
          <cell r="M72">
            <v>10101</v>
          </cell>
          <cell r="N72">
            <v>8132</v>
          </cell>
          <cell r="O72">
            <v>7125</v>
          </cell>
          <cell r="P72">
            <v>7550</v>
          </cell>
          <cell r="Q72">
            <v>8905</v>
          </cell>
          <cell r="R72">
            <v>103001</v>
          </cell>
          <cell r="S72">
            <v>79421</v>
          </cell>
        </row>
        <row r="73">
          <cell r="E73" t="str">
            <v>-</v>
          </cell>
          <cell r="F73">
            <v>77173.86</v>
          </cell>
          <cell r="G73">
            <v>116119.89</v>
          </cell>
          <cell r="H73">
            <v>116448.45999999999</v>
          </cell>
          <cell r="I73">
            <v>115173.31</v>
          </cell>
          <cell r="J73">
            <v>157689.35</v>
          </cell>
          <cell r="K73">
            <v>132532.47</v>
          </cell>
          <cell r="L73">
            <v>128782.03</v>
          </cell>
          <cell r="M73">
            <v>132382.9</v>
          </cell>
          <cell r="N73">
            <v>133567.01999999999</v>
          </cell>
          <cell r="O73">
            <v>183200.72</v>
          </cell>
          <cell r="P73">
            <v>181329.27</v>
          </cell>
          <cell r="Q73">
            <v>174361.59999999998</v>
          </cell>
          <cell r="R73">
            <v>1648760.88</v>
          </cell>
          <cell r="S73">
            <v>1109869.29</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Rodriguez, Ilse:(ComEd)" id="{208DF1D0-159A-423C-BCFF-8BEF74DFFFA9}" userId="E092923@exelonds.com" providerId="PeoplePicker"/>
  <person displayName="Lee, Abbey Rose:(ComEd)" id="{6685DF35-9EDF-45C9-9FFB-CFBC6B6398E7}" userId="E916053@exelonds.com" providerId="PeoplePicker"/>
  <person displayName="Rodriguez, Ilse:(ComEd)" id="{BA2B3981-C5E5-49DF-AFD9-5E37C6648BF5}" userId="S::E092923@exelonds.com::21c8a896-39e0-47fb-bdc8-6ba5147fc204" providerId="AD"/>
  <person displayName="Lee, Abbey Rose:(ComEd)" id="{76AED2B2-0F2B-4635-8E63-D67EEBF6D7A1}" userId="S::E916053@exelonds.com::8c6746e4-bd34-49fe-8dd6-114c500b314e" providerId="AD"/>
  <person displayName="Lee, Abbey Rose:(ComEd)" id="{340D2F90-E72D-42D6-AEB0-ABDD4D63FC93}" userId="S::e916053@exelonds.com::8c6746e4-bd34-49fe-8dd6-114c500b314e"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driguez, Ilse:(ComEd)" refreshedDate="45603.570541898145" createdVersion="8" refreshedVersion="8" minRefreshableVersion="3" recordCount="127" xr:uid="{CC9654BE-036B-4AB6-AB82-18BD6E875CC1}">
  <cacheSource type="worksheet">
    <worksheetSource ref="B2:R129" sheet="Sheet1"/>
  </cacheSource>
  <cacheFields count="17">
    <cacheField name="ITN Name" numFmtId="0">
      <sharedItems containsBlank="1" count="10">
        <s v="Market Rate"/>
        <s v="IE"/>
        <m/>
        <s v="Marketing"/>
        <s v="Portfolio"/>
        <s v="C&amp;I Private"/>
        <s v="C&amp;I Public"/>
        <s v="Business Energy Analyzer/Optimization"/>
        <s v="Evaluation Costs"/>
        <s v="Emerging Technology/R&amp;D"/>
      </sharedItems>
    </cacheField>
    <cacheField name="Project Description" numFmtId="0">
      <sharedItems containsBlank="1"/>
    </cacheField>
    <cacheField name="Reporting Program" numFmtId="0">
      <sharedItems containsBlank="1" count="48">
        <s v="Single-Family Upgrades – Home Energy Assessments - Market Rate"/>
        <s v="Multi-Family Upgrades - Market Rate"/>
        <s v="Multi-Family Upgrades - Public Housing"/>
        <s v="Multi-Family Upgrades - Income Eligible"/>
        <s v="Single-Family Upgrades – Income Eligible Retrofits"/>
        <s v="Single-Family Upgrades – Home Energy Assessments - IE"/>
        <m/>
        <s v="Whole Home Electrific (Single and Multi Family Upgrades Electrification - IE)"/>
        <s v="Product Distribution - Market Rate"/>
        <s v="Retail - Market Rate (includes Marketplace 2.0 Non-Lighting and Retail Products Platform)"/>
        <s v="Affordable Housing New Construction"/>
        <s v="Heating and Cooling - Contractor/Midstream Rebates"/>
        <s v="Product Distribution - Income Eligible"/>
        <s v="All-Electric New Construction"/>
        <s v="Retail - Income Eligible"/>
        <s v="Contractor/Midstream Rebates Electrification"/>
        <s v="All-Electric New Construction - Electrification"/>
        <s v="Affordable Housing New Construction Electrification"/>
        <s v="IE General"/>
        <s v="Residential General"/>
        <s v="Marketing Costs (including Education and Outreach)"/>
        <s v="Residential Behavior - Home Energy Report"/>
        <s v="Portfolio"/>
        <s v="Private Sector General"/>
        <s v="Standard - Private"/>
        <s v="Standard - Public"/>
        <s v="Small Business - Private"/>
        <s v="Small Business - Public"/>
        <s v="Private Sector Outreach"/>
        <s v="Public Sector Outreach"/>
        <s v="Business Energy Analyzer/Optimization"/>
        <s v="Industrial Systems - Private"/>
        <s v="Strategic Energy Management - Private "/>
        <s v="Strategic Energy Management - Public"/>
        <s v="Custom - Private"/>
        <s v="Custom - Public"/>
        <s v="Retro-commissioning - Private"/>
        <s v="Retro-commissioning - Public"/>
        <s v="Midstream Upstream - Private"/>
        <s v="Midstream/Upstream - Public"/>
        <s v="New Construction - Private"/>
        <s v="New Construction - Public"/>
        <s v="Commercial Foodservice - Private"/>
        <s v="Commercial Foodservice - Public"/>
        <s v="Facility Assessment - Private"/>
        <s v="Facility Assessments - Public"/>
        <s v="Evaluation Costs"/>
        <s v="Emerging Technology/R&amp;D"/>
      </sharedItems>
    </cacheField>
    <cacheField name="Jan-24" numFmtId="0">
      <sharedItems containsString="0" containsBlank="1" containsNumber="1" minValue="-125705.05" maxValue="21114653.289999999"/>
    </cacheField>
    <cacheField name="Feb-24" numFmtId="0">
      <sharedItems containsString="0" containsBlank="1" containsNumber="1" minValue="-10919" maxValue="29894386.389999993"/>
    </cacheField>
    <cacheField name="Mar-24" numFmtId="0">
      <sharedItems containsString="0" containsBlank="1" containsNumber="1" minValue="-66550.200000000012" maxValue="28997608.969999999"/>
    </cacheField>
    <cacheField name="Apr-24" numFmtId="0">
      <sharedItems containsString="0" containsBlank="1" containsNumber="1" minValue="-217891.14000000004" maxValue="28241245.439999998"/>
    </cacheField>
    <cacheField name="May-24" numFmtId="0">
      <sharedItems containsString="0" containsBlank="1" containsNumber="1" minValue="-30789.859999999997" maxValue="28921121.052228998"/>
    </cacheField>
    <cacheField name="Jun-24" numFmtId="0">
      <sharedItems containsString="0" containsBlank="1" containsNumber="1" minValue="-3.5599999999999454" maxValue="32723327.789999999"/>
    </cacheField>
    <cacheField name="Jul-24" numFmtId="0">
      <sharedItems containsString="0" containsBlank="1" containsNumber="1" minValue="-13584.22" maxValue="30506856.340000004"/>
    </cacheField>
    <cacheField name="Aug-24" numFmtId="0">
      <sharedItems containsString="0" containsBlank="1" containsNumber="1" minValue="-20000" maxValue="31708210.509999998"/>
    </cacheField>
    <cacheField name="Sep-24" numFmtId="0">
      <sharedItems containsString="0" containsBlank="1" containsNumber="1" minValue="0" maxValue="34132600.780000001"/>
    </cacheField>
    <cacheField name="Q3 YTD" numFmtId="167">
      <sharedItems containsSemiMixedTypes="0" containsString="0" containsNumber="1" minValue="-3761.5" maxValue="266240010.56222898"/>
    </cacheField>
    <cacheField name="Oct-24" numFmtId="0">
      <sharedItems containsString="0" containsBlank="1" containsNumber="1" minValue="0" maxValue="40748372.714387871"/>
    </cacheField>
    <cacheField name="Nov-24" numFmtId="0">
      <sharedItems containsString="0" containsBlank="1" containsNumber="1" minValue="0" maxValue="61813055.967411451"/>
    </cacheField>
    <cacheField name="Dec-24" numFmtId="0">
      <sharedItems containsString="0" containsBlank="1" containsNumber="1" minValue="-173732.87000000011" maxValue="65971500.095719114"/>
    </cacheField>
    <cacheField name="2024" numFmtId="0">
      <sharedItems containsString="0" containsBlank="1" containsNumber="1" minValue="0" maxValue="434772939.3397474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7">
  <r>
    <x v="0"/>
    <s v="EE - Home Energy Assessment"/>
    <x v="0"/>
    <n v="15683.41"/>
    <n v="57143.97"/>
    <n v="18504.36"/>
    <n v="32112.09"/>
    <n v="22503.200000000001"/>
    <n v="29347.73"/>
    <n v="78019.490000000005"/>
    <n v="21172.26"/>
    <n v="33477.950000000004"/>
    <n v="307964.46000000002"/>
    <n v="61076"/>
    <n v="64653"/>
    <n v="54323.049999999988"/>
    <n v="488016.51"/>
  </r>
  <r>
    <x v="0"/>
    <s v="EE - Multi-Family Energy Assessment"/>
    <x v="1"/>
    <n v="46623.950000000004"/>
    <n v="59471.95"/>
    <n v="108406.6"/>
    <n v="202042.95"/>
    <n v="202685.36"/>
    <n v="239909.53"/>
    <n v="211706.33000000002"/>
    <n v="377979.20999999996"/>
    <n v="202207.41"/>
    <n v="1651033.29"/>
    <n v="318637.14227272727"/>
    <n v="447649.39437218185"/>
    <n v="375368.94439285737"/>
    <n v="2792688.7710377667"/>
  </r>
  <r>
    <x v="1"/>
    <s v="Public Housing Retrofits"/>
    <x v="2"/>
    <n v="63281.490000000005"/>
    <n v="235173.76000000001"/>
    <n v="181408.04"/>
    <n v="30507.260000000002"/>
    <n v="42642.66"/>
    <n v="34456.67"/>
    <n v="140815.97"/>
    <n v="158887.67999999999"/>
    <n v="95555.63"/>
    <n v="982729.16"/>
    <n v="184533.9236792"/>
    <n v="112711.50185080001"/>
    <n v="557455.67632839968"/>
    <n v="1837430.2618584"/>
  </r>
  <r>
    <x v="1"/>
    <s v="Multi-Family IE Retrofits"/>
    <x v="3"/>
    <n v="1973325.26"/>
    <n v="817429.21"/>
    <n v="2537311.94"/>
    <n v="2254699.79"/>
    <n v="2572291.79"/>
    <n v="2085584.29"/>
    <n v="1915315.1600000001"/>
    <n v="2843656.27"/>
    <n v="2119419.5099999998"/>
    <n v="19119033.219999999"/>
    <n v="2110913"/>
    <n v="2291222"/>
    <n v="2232693.7511118203"/>
    <n v="25753861.971111819"/>
  </r>
  <r>
    <x v="1"/>
    <s v="Multi-Family Retrofits -HP"/>
    <x v="3"/>
    <n v="18000"/>
    <n v="151200"/>
    <n v="151200"/>
    <n v="378800"/>
    <n v="415800"/>
    <n v="271300"/>
    <n v="378000"/>
    <n v="327900"/>
    <n v="1141100"/>
    <n v="3233300"/>
    <n v="1373400"/>
    <n v="844200"/>
    <n v="660700"/>
    <n v="6111600"/>
  </r>
  <r>
    <x v="1"/>
    <s v="Single- Family IE Retrofits"/>
    <x v="4"/>
    <n v="1056949.7"/>
    <n v="821502.45000000007"/>
    <n v="1161449.95"/>
    <n v="1566518.8"/>
    <n v="1650232.5000000002"/>
    <n v="1848087.1300000001"/>
    <n v="2833467.26"/>
    <n v="3090645.0199999996"/>
    <n v="2752606.65"/>
    <n v="16781459.459999997"/>
    <n v="2946429"/>
    <n v="3270197"/>
    <n v="3282358.3500000015"/>
    <n v="26280443.809999999"/>
  </r>
  <r>
    <x v="1"/>
    <s v="(IE) Home Energy Assessment - Income Eligible"/>
    <x v="5"/>
    <n v="416973.58"/>
    <n v="412654.43000000005"/>
    <n v="469699.65"/>
    <n v="471822"/>
    <n v="454684.64999999997"/>
    <n v="485345.56000000006"/>
    <n v="451226.05"/>
    <n v="428167.10000000003"/>
    <n v="432207.63"/>
    <n v="4022780.65"/>
    <n v="461172"/>
    <n v="505071"/>
    <n v="323758.36999999918"/>
    <n v="5312782.0199999996"/>
  </r>
  <r>
    <x v="2"/>
    <s v="Home Energy Report/ Residential Behavior"/>
    <x v="6"/>
    <n v="0"/>
    <n v="0"/>
    <n v="0"/>
    <n v="0"/>
    <n v="0"/>
    <n v="0"/>
    <n v="0"/>
    <n v="0"/>
    <n v="0"/>
    <n v="0"/>
    <n v="0"/>
    <n v="0"/>
    <n v="0"/>
    <n v="0"/>
  </r>
  <r>
    <x v="1"/>
    <s v="IE Multi Family Electrification"/>
    <x v="7"/>
    <n v="44657.14999999998"/>
    <n v="50158.43"/>
    <n v="56601.26"/>
    <n v="52477.49"/>
    <n v="66776.489999999991"/>
    <n v="913541.69"/>
    <n v="46242.659999999996"/>
    <n v="79299.53"/>
    <n v="108791.77"/>
    <n v="1418546.4699999997"/>
    <n v="85052.373855986734"/>
    <n v="1155596.1510738565"/>
    <n v="1093553.7976571762"/>
    <n v="3752748.7925870186"/>
  </r>
  <r>
    <x v="1"/>
    <s v="IE Single Family Electrification"/>
    <x v="7"/>
    <n v="50434.43"/>
    <n v="208399.76"/>
    <n v="278253.34000000003"/>
    <n v="85417.44"/>
    <n v="344844.47"/>
    <n v="589906.92000000004"/>
    <n v="692429.49"/>
    <n v="756195.36"/>
    <n v="764517.39"/>
    <n v="3770398.5999999996"/>
    <n v="673353.60401705117"/>
    <n v="506438.16751408373"/>
    <n v="393207.80038738833"/>
    <n v="5343398.1719185226"/>
  </r>
  <r>
    <x v="2"/>
    <s v="TOTAL"/>
    <x v="6"/>
    <n v="3685928.9700000007"/>
    <n v="2813133.96"/>
    <n v="4962835.1399999997"/>
    <n v="5074397.82"/>
    <n v="5772461.1200000001"/>
    <n v="6497479.5199999996"/>
    <n v="6747222.4100000001"/>
    <n v="8083902.4299999997"/>
    <n v="7649883.9399999995"/>
    <n v="51287245.309999995"/>
    <n v="8214567.0438249651"/>
    <n v="9197738.2148109227"/>
    <n v="8973419.7398776431"/>
    <n v="77672970.308513522"/>
  </r>
  <r>
    <x v="0"/>
    <s v="Market Rate Product Distribution"/>
    <x v="8"/>
    <n v="0"/>
    <n v="178088.15"/>
    <n v="214401.1"/>
    <n v="204176.05"/>
    <n v="54838.299999999988"/>
    <n v="0"/>
    <n v="0"/>
    <n v="78252.649999999994"/>
    <n v="178505.7"/>
    <n v="908261.95000000019"/>
    <n v="46411.65"/>
    <n v="34668.800000000003"/>
    <n v="-50947.650000000023"/>
    <n v="938394.75000000023"/>
  </r>
  <r>
    <x v="0"/>
    <s v="Market Rate Retail"/>
    <x v="9"/>
    <n v="752007.6"/>
    <n v="1165001.23"/>
    <n v="1251765.6000000001"/>
    <n v="-217891.14000000004"/>
    <n v="1026549.42"/>
    <n v="477482.82999999996"/>
    <n v="615295.54"/>
    <n v="678581.25"/>
    <n v="504648.87000000005"/>
    <n v="6253441.2000000002"/>
    <n v="1138049"/>
    <n v="570105"/>
    <n v="281706.12999999989"/>
    <n v="8243301.3300000001"/>
  </r>
  <r>
    <x v="1"/>
    <s v="Affordable Housing New Construction"/>
    <x v="10"/>
    <n v="75349.38"/>
    <n v="175888.87999999998"/>
    <n v="49611.21"/>
    <n v="52849.21"/>
    <n v="51977.8"/>
    <n v="133976.13"/>
    <n v="350385.04000000004"/>
    <n v="22582.76"/>
    <n v="579589.80000000005"/>
    <n v="1492210.21"/>
    <n v="294245"/>
    <n v="128674"/>
    <n v="296779.20000000019"/>
    <n v="2211908.41"/>
  </r>
  <r>
    <x v="0"/>
    <s v="EE Res Heating and Cooling"/>
    <x v="11"/>
    <n v="516874.73"/>
    <n v="738119.72"/>
    <n v="234323.66"/>
    <n v="232114.88"/>
    <n v="48856.710000000014"/>
    <n v="158178.87"/>
    <n v="300037.21000000002"/>
    <n v="359758.37"/>
    <n v="194443.99"/>
    <n v="2782708.1399999997"/>
    <n v="427140"/>
    <n v="387022"/>
    <n v="521643.39000000025"/>
    <n v="4118513.53"/>
  </r>
  <r>
    <x v="1"/>
    <s v="Product Distribution - Income Eligible"/>
    <x v="12"/>
    <n v="807777.52"/>
    <n v="1409135.8299999998"/>
    <n v="1354259.7799999998"/>
    <n v="1519112.01"/>
    <n v="1515890.65"/>
    <n v="1326898.04"/>
    <n v="1225865.98"/>
    <n v="1388216.61"/>
    <n v="1513469.6800000002"/>
    <n v="12060626.099999998"/>
    <n v="1327194.51"/>
    <n v="1392375.7300000002"/>
    <n v="477874.53000000102"/>
    <n v="15258070.869999999"/>
  </r>
  <r>
    <x v="0"/>
    <s v="Electric Homes New Construction"/>
    <x v="13"/>
    <n v="2773.6099999999997"/>
    <n v="5262.2699999999995"/>
    <n v="5997.2000000000007"/>
    <n v="21374.190000000002"/>
    <n v="20208.75"/>
    <n v="31249.1"/>
    <n v="8423.5400000000009"/>
    <n v="9982.92"/>
    <n v="10617.810000000001"/>
    <n v="115889.39"/>
    <n v="28075"/>
    <n v="6214"/>
    <n v="37072.19"/>
    <n v="187250.58000000002"/>
  </r>
  <r>
    <x v="0"/>
    <s v="EE Marketplace Residential Products"/>
    <x v="9"/>
    <n v="23111.18"/>
    <n v="152271.71000000002"/>
    <n v="-66550.200000000012"/>
    <n v="157086.54"/>
    <n v="219091.19"/>
    <n v="159784.97"/>
    <n v="155944.37000000005"/>
    <n v="155060.22000000003"/>
    <n v="95130.11"/>
    <n v="1050930.0900000001"/>
    <n v="365876"/>
    <n v="57245.919999999998"/>
    <n v="111399.8899999999"/>
    <n v="1585451.9"/>
  </r>
  <r>
    <x v="0"/>
    <s v="EE - Marketplace Lighting Products"/>
    <x v="9"/>
    <n v="0"/>
    <n v="0"/>
    <n v="0"/>
    <n v="0"/>
    <n v="0"/>
    <n v="13584.22"/>
    <n v="-13584.22"/>
    <n v="0"/>
    <n v="0"/>
    <n v="0"/>
    <n v="0"/>
    <n v="0"/>
    <n v="0"/>
    <n v="0"/>
  </r>
  <r>
    <x v="1"/>
    <s v="IE Retail"/>
    <x v="14"/>
    <n v="1540811.31"/>
    <n v="1487881.9599999997"/>
    <n v="2194118.3699999996"/>
    <n v="2570130.2999999998"/>
    <n v="1459477.91"/>
    <n v="1632615.04"/>
    <n v="1565753.34"/>
    <n v="1928000.9100000001"/>
    <n v="1814199.75"/>
    <n v="16192988.889999997"/>
    <n v="1121926"/>
    <n v="1702643"/>
    <n v="3718034.1099999994"/>
    <n v="22735591.999999996"/>
  </r>
  <r>
    <x v="0"/>
    <s v="Res. Electrification"/>
    <x v="15"/>
    <n v="892250.52999999991"/>
    <n v="1363690"/>
    <n v="431042.66000000003"/>
    <n v="998118.83"/>
    <n v="501667.78"/>
    <n v="595971.06999999995"/>
    <n v="711682.1"/>
    <n v="885597.36"/>
    <n v="469808.39"/>
    <n v="6849828.7199999997"/>
    <n v="754023"/>
    <n v="686672"/>
    <n v="328428.61000000127"/>
    <n v="8618952.3300000019"/>
  </r>
  <r>
    <x v="2"/>
    <s v="Food Bank-LED Distribution"/>
    <x v="6"/>
    <n v="0"/>
    <n v="0"/>
    <n v="0"/>
    <n v="0"/>
    <n v="0"/>
    <n v="0"/>
    <n v="0"/>
    <n v="0"/>
    <n v="0"/>
    <n v="0"/>
    <n v="0"/>
    <n v="0"/>
    <n v="0"/>
    <n v="0"/>
  </r>
  <r>
    <x v="0"/>
    <s v="Electric Homes-Elec. Measures"/>
    <x v="16"/>
    <n v="12631.490000000002"/>
    <n v="24730.32"/>
    <n v="28856.98"/>
    <n v="55035.14"/>
    <n v="51681.57"/>
    <n v="55370.86"/>
    <n v="28012.7"/>
    <n v="46302.380000000005"/>
    <n v="63912.740000000005"/>
    <n v="366534.18"/>
    <n v="122814"/>
    <n v="28502"/>
    <n v="207699.26"/>
    <n v="725549.44"/>
  </r>
  <r>
    <x v="2"/>
    <s v="Lighting Discounts - Income Eligible"/>
    <x v="6"/>
    <n v="0"/>
    <n v="0"/>
    <n v="0"/>
    <n v="0"/>
    <n v="0"/>
    <n v="0"/>
    <n v="0"/>
    <n v="0"/>
    <n v="0"/>
    <n v="0"/>
    <n v="0"/>
    <n v="0"/>
    <n v="0"/>
    <n v="0"/>
  </r>
  <r>
    <x v="1"/>
    <s v="Affordable Housing NC-Elect."/>
    <x v="17"/>
    <n v="180855.49"/>
    <n v="110736.61000000002"/>
    <n v="75753.279999999999"/>
    <n v="93954.16"/>
    <n v="96273.89"/>
    <n v="77479.14"/>
    <n v="345018.82"/>
    <n v="40147.1"/>
    <n v="67633.11"/>
    <n v="1087851.6000000001"/>
    <n v="134191"/>
    <n v="324746"/>
    <n v="860137.89000000013"/>
    <n v="2406926.4900000002"/>
  </r>
  <r>
    <x v="2"/>
    <s v="Product Rebates"/>
    <x v="6"/>
    <n v="0"/>
    <n v="0"/>
    <n v="0"/>
    <n v="0"/>
    <n v="0"/>
    <n v="0"/>
    <n v="0"/>
    <n v="0"/>
    <n v="0"/>
    <n v="0"/>
    <n v="0"/>
    <n v="0"/>
    <n v="0"/>
    <n v="0"/>
  </r>
  <r>
    <x v="0"/>
    <s v="Retial Products Platform"/>
    <x v="9"/>
    <n v="0"/>
    <n v="0"/>
    <n v="0"/>
    <n v="133715"/>
    <n v="203547.90000000002"/>
    <n v="9603.1799999999785"/>
    <n v="185373.75"/>
    <n v="203769.53"/>
    <n v="101798.68"/>
    <n v="837808.04"/>
    <n v="173504"/>
    <n v="165924"/>
    <n v="126489.32000000007"/>
    <n v="1303725.3600000001"/>
  </r>
  <r>
    <x v="2"/>
    <s v="Appliance Recycling Program"/>
    <x v="6"/>
    <n v="0"/>
    <n v="0"/>
    <n v="0"/>
    <n v="0"/>
    <n v="0"/>
    <n v="0"/>
    <n v="0"/>
    <n v="0"/>
    <n v="0"/>
    <n v="0"/>
    <n v="0"/>
    <n v="0"/>
    <n v="0"/>
    <n v="0"/>
  </r>
  <r>
    <x v="2"/>
    <s v="TOTAL"/>
    <x v="6"/>
    <n v="4804442.8400000008"/>
    <n v="6810806.6799999997"/>
    <n v="5773579.6399999997"/>
    <n v="5819775.1699999999"/>
    <n v="5250061.87"/>
    <n v="4672193.45"/>
    <n v="5478208.1699999999"/>
    <n v="5796252.0600000005"/>
    <n v="5593758.6299999999"/>
    <n v="49999078.510000005"/>
    <n v="5933449.1600000001"/>
    <n v="5484792.4500000002"/>
    <n v="6916316.8700000029"/>
    <n v="68333636.99000001"/>
  </r>
  <r>
    <x v="1"/>
    <s v="Income Eligible General"/>
    <x v="18"/>
    <n v="11097.8"/>
    <n v="8645.94"/>
    <n v="9803.2900000000009"/>
    <n v="40917.229999999996"/>
    <n v="17921.102228999996"/>
    <n v="44905.64"/>
    <n v="14891.63"/>
    <n v="35655.599999999999"/>
    <n v="35872.869999999995"/>
    <n v="219711.10222899998"/>
    <n v="35384"/>
    <n v="35329"/>
    <n v="1105499.1299999999"/>
    <n v="1395923.232229"/>
  </r>
  <r>
    <x v="0"/>
    <s v="Residential General"/>
    <x v="19"/>
    <n v="11165.96"/>
    <n v="8616.42"/>
    <n v="6803.29"/>
    <n v="39278.85"/>
    <n v="19527.900000000001"/>
    <n v="15532.05"/>
    <n v="11859.92"/>
    <n v="28672.91"/>
    <n v="33598.829999999994"/>
    <n v="175056.12999999998"/>
    <n v="33900"/>
    <n v="3482300"/>
    <n v="62870.169999999925"/>
    <n v="3754126.3"/>
  </r>
  <r>
    <x v="3"/>
    <s v="Education &amp; Awareness - Residential (EEDEDUCA)"/>
    <x v="20"/>
    <n v="232568.14"/>
    <n v="1061000"/>
    <n v="1124100"/>
    <n v="0"/>
    <n v="0"/>
    <n v="0"/>
    <n v="20000"/>
    <n v="-20000"/>
    <n v="0"/>
    <n v="2417668.14"/>
    <n v="0"/>
    <n v="2000000"/>
    <n v="0"/>
    <n v="4417668.1400000006"/>
  </r>
  <r>
    <x v="0"/>
    <s v="Home Energy Report/ Residential Behavior"/>
    <x v="21"/>
    <n v="515823.33"/>
    <n v="515823.33"/>
    <n v="516023.33"/>
    <n v="515823.33"/>
    <n v="519897.53"/>
    <n v="517850"/>
    <n v="517762.93"/>
    <n v="517793.5"/>
    <n v="518356.81999999995"/>
    <n v="4655154.1000000006"/>
    <n v="517823.82"/>
    <n v="517823.82"/>
    <n v="517836.82"/>
    <n v="6208638.5600000015"/>
  </r>
  <r>
    <x v="2"/>
    <s v="TOTAL"/>
    <x v="6"/>
    <n v="770655.23"/>
    <n v="1594085.6900000002"/>
    <n v="1656729.9100000001"/>
    <n v="596019.41"/>
    <n v="557346.532229"/>
    <n v="578287.68999999994"/>
    <n v="564514.48"/>
    <n v="562122.01"/>
    <n v="587828.5199999999"/>
    <n v="7467589.4722290002"/>
    <n v="587107.82000000007"/>
    <n v="6035452.8200000003"/>
    <n v="1686206.1199999999"/>
    <n v="15776356.232229"/>
  </r>
  <r>
    <x v="2"/>
    <m/>
    <x v="6"/>
    <n v="0"/>
    <n v="0"/>
    <n v="0"/>
    <n v="0"/>
    <n v="0"/>
    <n v="0"/>
    <n v="0"/>
    <n v="0"/>
    <n v="0"/>
    <n v="0"/>
    <n v="0"/>
    <n v="0"/>
    <n v="0"/>
    <n v="0"/>
  </r>
  <r>
    <x v="4"/>
    <m/>
    <x v="22"/>
    <n v="310106.48"/>
    <n v="291884.89"/>
    <n v="299197.87000000005"/>
    <n v="311724.64000000007"/>
    <n v="310308.38"/>
    <n v="277487.73"/>
    <n v="331050"/>
    <n v="331345.72000000003"/>
    <n v="316832.42000000022"/>
    <n v="2779938.1300000008"/>
    <n v="254662.18572679191"/>
    <n v="206266.49961812043"/>
    <n v="193989"/>
    <n v="3434855.8153449134"/>
  </r>
  <r>
    <x v="2"/>
    <s v="TOTAL"/>
    <x v="6"/>
    <n v="9571133.5200000014"/>
    <n v="11509911.219999999"/>
    <n v="12692342.559999999"/>
    <n v="11801917.039999999"/>
    <n v="11890177.902229"/>
    <n v="12025448.390000001"/>
    <n v="13120995.060000001"/>
    <n v="14773622.220000001"/>
    <n v="14148303.51"/>
    <n v="111533851.42222901"/>
    <n v="14989786.209551757"/>
    <n v="20924249.984429043"/>
    <n v="17769931.729877643"/>
    <n v="165217819.34608746"/>
  </r>
  <r>
    <x v="5"/>
    <s v="Business General"/>
    <x v="23"/>
    <n v="2884.26"/>
    <n v="2666.8"/>
    <n v="2757.24"/>
    <n v="2666.8"/>
    <n v="10225.94"/>
    <n v="8623.34"/>
    <n v="10892.62"/>
    <n v="9077.17"/>
    <n v="8621.0400000000009"/>
    <n v="58415.21"/>
    <n v="0"/>
    <n v="0"/>
    <n v="-8415.0400000000009"/>
    <n v="50000.17"/>
  </r>
  <r>
    <x v="5"/>
    <s v="Incentives- Standard"/>
    <x v="24"/>
    <n v="2097087.5999999999"/>
    <n v="6442321.2699999996"/>
    <n v="3747536.92"/>
    <n v="3429942.1699999995"/>
    <n v="2817059.37"/>
    <n v="5313859.7399999993"/>
    <n v="3456526.63"/>
    <n v="3626818.5100000002"/>
    <n v="2897328.16"/>
    <n v="33828480.369999997"/>
    <n v="5526841"/>
    <n v="4741587"/>
    <n v="6610869.840000011"/>
    <n v="50707778.210000008"/>
  </r>
  <r>
    <x v="6"/>
    <s v="Incentives- Standard - Public Sector"/>
    <x v="25"/>
    <n v="809835.52000000002"/>
    <n v="894005.14"/>
    <n v="368429.49"/>
    <n v="414293.05"/>
    <n v="444753.9"/>
    <n v="810780.81"/>
    <n v="498398.47"/>
    <n v="661874.15"/>
    <n v="861129.48"/>
    <n v="5763500.0099999998"/>
    <n v="1365241"/>
    <n v="2158421"/>
    <n v="2248528.5199999996"/>
    <n v="11535690.529999999"/>
  </r>
  <r>
    <x v="5"/>
    <s v="Small Business"/>
    <x v="26"/>
    <n v="3338120.0300000003"/>
    <n v="2721664.94"/>
    <n v="3742371.8200000003"/>
    <n v="3838983.6"/>
    <n v="3945186.45"/>
    <n v="3437124.9"/>
    <n v="3350969.78"/>
    <n v="3332579.9800000004"/>
    <n v="4762676.34"/>
    <n v="32469677.84"/>
    <n v="4593722.32"/>
    <n v="15135077.699999999"/>
    <n v="16244220.889999995"/>
    <n v="68442698.75"/>
  </r>
  <r>
    <x v="6"/>
    <s v="Small Business Public Sector"/>
    <x v="27"/>
    <n v="191535.44"/>
    <n v="203311.61"/>
    <n v="328772.69"/>
    <n v="339173.83"/>
    <n v="745463.11"/>
    <n v="947305.52"/>
    <n v="1259180.0599999998"/>
    <n v="673281.79"/>
    <n v="584748.45000000007"/>
    <n v="5272772.5"/>
    <n v="607632.08000000007"/>
    <n v="1834065.56"/>
    <n v="1569436.5999999996"/>
    <n v="9283906.7400000002"/>
  </r>
  <r>
    <x v="2"/>
    <s v="Rural Small Business Kits"/>
    <x v="6"/>
    <n v="0"/>
    <n v="0"/>
    <n v="0"/>
    <n v="0"/>
    <n v="0"/>
    <n v="0"/>
    <n v="0"/>
    <n v="0"/>
    <n v="0"/>
    <n v="0"/>
    <n v="0"/>
    <n v="0"/>
    <n v="0"/>
    <n v="0"/>
  </r>
  <r>
    <x v="2"/>
    <s v="Small Business Kits - Public"/>
    <x v="6"/>
    <n v="0"/>
    <n v="0"/>
    <n v="0"/>
    <n v="0"/>
    <n v="0"/>
    <n v="0"/>
    <n v="0"/>
    <n v="0"/>
    <n v="0"/>
    <n v="0"/>
    <n v="0"/>
    <n v="0"/>
    <n v="0"/>
    <n v="0"/>
  </r>
  <r>
    <x v="2"/>
    <s v="TOTAL"/>
    <x v="6"/>
    <n v="6439462.8500000006"/>
    <n v="10263969.759999998"/>
    <n v="8189868.1600000011"/>
    <n v="8025059.4499999993"/>
    <n v="7962688.7700000005"/>
    <n v="10517694.309999999"/>
    <n v="8575967.5600000005"/>
    <n v="8303631.6000000006"/>
    <n v="9114503.4699999988"/>
    <n v="77392845.929999992"/>
    <n v="12093436.4"/>
    <n v="23869151.259999998"/>
    <n v="26664640.81000001"/>
    <n v="140020074.40000001"/>
  </r>
  <r>
    <x v="5"/>
    <s v="EE- C&amp;I Outreach  Private Sect"/>
    <x v="28"/>
    <n v="221673.35000000003"/>
    <n v="711431.07000000007"/>
    <n v="719713.22999999986"/>
    <n v="569515.17000000004"/>
    <n v="224140.38"/>
    <n v="155693.89000000001"/>
    <n v="646903.68000000005"/>
    <n v="190133.34000000003"/>
    <n v="170452.68"/>
    <n v="3609656.79"/>
    <n v="2106930.83"/>
    <n v="758358.87"/>
    <n v="1198153.2999999998"/>
    <n v="7673099.79"/>
  </r>
  <r>
    <x v="6"/>
    <s v="EE- C&amp;I Outreach Public Sector"/>
    <x v="29"/>
    <n v="-35382.560000000012"/>
    <n v="474573.88000000006"/>
    <n v="462585.76"/>
    <n v="177667.08000000002"/>
    <n v="-30789.859999999997"/>
    <n v="32669.66"/>
    <n v="114651.40000000001"/>
    <n v="12276.66"/>
    <n v="42665.899999999994"/>
    <n v="1250917.9199999997"/>
    <n v="621734.17000000004"/>
    <n v="550618.75"/>
    <n v="435419.50999999943"/>
    <n v="2858690.3499999992"/>
  </r>
  <r>
    <x v="3"/>
    <s v="Education &amp; Awareness - C&amp;I "/>
    <x v="20"/>
    <n v="0"/>
    <n v="248000"/>
    <n v="252000"/>
    <n v="0"/>
    <n v="0"/>
    <n v="0"/>
    <n v="0"/>
    <n v="0"/>
    <n v="0"/>
    <n v="500000"/>
    <n v="0"/>
    <n v="0"/>
    <n v="0"/>
    <n v="500000"/>
  </r>
  <r>
    <x v="4"/>
    <s v="C&amp;I Key Accounts"/>
    <x v="22"/>
    <n v="0"/>
    <n v="0"/>
    <n v="0"/>
    <n v="0"/>
    <n v="0"/>
    <n v="0"/>
    <n v="0"/>
    <n v="0"/>
    <n v="12000"/>
    <n v="12000"/>
    <n v="25000"/>
    <n v="0"/>
    <n v="-12000"/>
    <n v="25000"/>
  </r>
  <r>
    <x v="7"/>
    <s v="EE - C&amp;I Optimization"/>
    <x v="30"/>
    <n v="0"/>
    <n v="0"/>
    <n v="0"/>
    <n v="0"/>
    <n v="0"/>
    <n v="2688.94"/>
    <n v="0"/>
    <n v="0"/>
    <n v="0"/>
    <n v="2688.94"/>
    <n v="15000.06"/>
    <n v="0"/>
    <n v="0"/>
    <n v="17689"/>
  </r>
  <r>
    <x v="2"/>
    <m/>
    <x v="6"/>
    <n v="0"/>
    <n v="0"/>
    <n v="0"/>
    <n v="0"/>
    <n v="0"/>
    <n v="0"/>
    <n v="0"/>
    <n v="0"/>
    <n v="0"/>
    <n v="0"/>
    <n v="0"/>
    <n v="0"/>
    <n v="0"/>
    <n v="0"/>
  </r>
  <r>
    <x v="2"/>
    <m/>
    <x v="6"/>
    <n v="0"/>
    <n v="0"/>
    <n v="0"/>
    <n v="0"/>
    <n v="0"/>
    <n v="0"/>
    <n v="0"/>
    <n v="0"/>
    <n v="0"/>
    <n v="0"/>
    <n v="0"/>
    <n v="0"/>
    <n v="0"/>
    <n v="0"/>
  </r>
  <r>
    <x v="2"/>
    <s v="TOTAL"/>
    <x v="6"/>
    <n v="186290.79000000004"/>
    <n v="1434004.9500000002"/>
    <n v="1434298.9899999998"/>
    <n v="747182.25"/>
    <n v="193350.52000000002"/>
    <n v="191052.49000000002"/>
    <n v="761555.08000000007"/>
    <n v="202410.00000000003"/>
    <n v="225118.58"/>
    <n v="5375263.6500000004"/>
    <n v="2768665.06"/>
    <n v="1308977.6200000001"/>
    <n v="1621572.8099999991"/>
    <n v="11074479.140000001"/>
  </r>
  <r>
    <x v="5"/>
    <s v="EE-Industrial Systems"/>
    <x v="31"/>
    <n v="148477.56"/>
    <n v="548352.15000000014"/>
    <n v="451618.04999999993"/>
    <n v="479366.40000000002"/>
    <n v="1025330.0199999999"/>
    <n v="1193516.7499999998"/>
    <n v="886994.31"/>
    <n v="1733753.56"/>
    <n v="1088241.69"/>
    <n v="7555650.4900000002"/>
    <n v="1108408"/>
    <n v="2065970"/>
    <n v="4220332.3100000005"/>
    <n v="14950360.800000001"/>
  </r>
  <r>
    <x v="5"/>
    <s v="Strategic Energy Management"/>
    <x v="32"/>
    <n v="311941.02"/>
    <n v="456747.96000000008"/>
    <n v="878316.58000000007"/>
    <n v="496833.06"/>
    <n v="445725.57999999996"/>
    <n v="737931.47"/>
    <n v="518719.59"/>
    <n v="579782.37"/>
    <n v="694773.42000000016"/>
    <n v="5120771.05"/>
    <n v="768704.8"/>
    <n v="627370.92999999993"/>
    <n v="1764703.7800000012"/>
    <n v="8281550.5600000005"/>
  </r>
  <r>
    <x v="6"/>
    <s v="Strategic Energy Management Public Sector"/>
    <x v="33"/>
    <n v="62807.840000000004"/>
    <n v="65963.099999999991"/>
    <n v="129092.42"/>
    <n v="88700.81"/>
    <n v="81244.190000000017"/>
    <n v="122381.70999999999"/>
    <n v="138701.03"/>
    <n v="121749.84999999999"/>
    <n v="130892.42"/>
    <n v="941533.37"/>
    <n v="128447"/>
    <n v="211207.07"/>
    <n v="305292.33999999962"/>
    <n v="1586479.7799999998"/>
  </r>
  <r>
    <x v="5"/>
    <s v="Incentives - Custom"/>
    <x v="34"/>
    <n v="246086.71"/>
    <n v="363033.74"/>
    <n v="190380.94"/>
    <n v="243293.4"/>
    <n v="296031.02"/>
    <n v="430736.17999999993"/>
    <n v="676523.22"/>
    <n v="337273.95"/>
    <n v="871278.44999999984"/>
    <n v="3654637.61"/>
    <n v="1064047.0308244973"/>
    <n v="1509245.2262514236"/>
    <n v="1453223.6182568902"/>
    <n v="7681153.4853328103"/>
  </r>
  <r>
    <x v="6"/>
    <s v="Incentives - Custom - Public Sector"/>
    <x v="35"/>
    <n v="10191.57"/>
    <n v="35805.520000000004"/>
    <n v="41138.28"/>
    <n v="223760.56000000003"/>
    <n v="70054.790000000008"/>
    <n v="95617.43"/>
    <n v="72510.929999999993"/>
    <n v="46074.75"/>
    <n v="46582.109999999993"/>
    <n v="641735.94000000006"/>
    <n v="20044.306214689266"/>
    <n v="229491.64815017622"/>
    <n v="61456.406389937241"/>
    <n v="952728.30075480277"/>
  </r>
  <r>
    <x v="5"/>
    <s v="RetroCommissioning"/>
    <x v="36"/>
    <n v="94081.430000000008"/>
    <n v="286301.28999999998"/>
    <n v="291907.94"/>
    <n v="437340.50999999995"/>
    <n v="858416.35"/>
    <n v="1564805.25"/>
    <n v="524587.03999999992"/>
    <n v="507972.23"/>
    <n v="509503.27999999991"/>
    <n v="5074915.32"/>
    <n v="525390.04999999993"/>
    <n v="1768067.7399999998"/>
    <n v="2422557.180000002"/>
    <n v="9790930.290000001"/>
  </r>
  <r>
    <x v="6"/>
    <s v="RetroCommissioning Public Sector"/>
    <x v="37"/>
    <n v="78386.67"/>
    <n v="259486.74999999997"/>
    <n v="53012.740000000042"/>
    <n v="341671.27999999997"/>
    <n v="-14573.819999999949"/>
    <n v="350977.83"/>
    <n v="476505.7"/>
    <n v="578932.30000000005"/>
    <n v="592577.49"/>
    <n v="2716976.9400000004"/>
    <n v="292768.65000000002"/>
    <n v="598273.74000000011"/>
    <n v="1371965.8600000006"/>
    <n v="4979985.1900000013"/>
  </r>
  <r>
    <x v="4"/>
    <s v="EE-C&amp;I Tech Support General E"/>
    <x v="22"/>
    <n v="2884.26"/>
    <n v="2666.8"/>
    <n v="2757.24"/>
    <n v="2666.8"/>
    <n v="-666.7"/>
    <n v="0"/>
    <n v="0"/>
    <n v="0"/>
    <n v="1512.95"/>
    <n v="11821.349999999999"/>
    <n v="3112.2"/>
    <n v="1971.06"/>
    <n v="24573.729999999996"/>
    <n v="41478.339999999997"/>
  </r>
  <r>
    <x v="5"/>
    <s v="Business Instant Discounts"/>
    <x v="38"/>
    <n v="1322926.3400000001"/>
    <n v="1344834.0499999998"/>
    <n v="1231905.77"/>
    <n v="1525419.98"/>
    <n v="1578366.27"/>
    <n v="1322033.24"/>
    <n v="684012.69000000006"/>
    <n v="1203322.5199999998"/>
    <n v="2506674.21"/>
    <n v="12719495.07"/>
    <n v="2713885.3763944609"/>
    <n v="2672238.4854828189"/>
    <n v="1876642.0962948527"/>
    <n v="19982261.028172135"/>
  </r>
  <r>
    <x v="6"/>
    <s v="Business Instant Discounts Public Sector"/>
    <x v="39"/>
    <n v="119493.92"/>
    <n v="240788.77"/>
    <n v="167165.68000000002"/>
    <n v="243334.61000000002"/>
    <n v="355504.07"/>
    <n v="262314.40000000002"/>
    <n v="359011.81999999995"/>
    <n v="242097.97"/>
    <n v="198502.65"/>
    <n v="2188213.89"/>
    <n v="317689.25644239999"/>
    <n v="321494.06756450003"/>
    <n v="398070.95136402594"/>
    <n v="3225468.1653709263"/>
  </r>
  <r>
    <x v="5"/>
    <s v="Non- Res New Construction"/>
    <x v="40"/>
    <n v="10395.269999999997"/>
    <n v="184302.65"/>
    <n v="65451.83"/>
    <n v="62050"/>
    <n v="349980.04"/>
    <n v="308147.74"/>
    <n v="826225.4"/>
    <n v="162984.17000000001"/>
    <n v="425141.91"/>
    <n v="2394679.0100000002"/>
    <n v="79779.300323867079"/>
    <n v="190663.48781756192"/>
    <n v="67621.089999999851"/>
    <n v="2732742.8881414291"/>
  </r>
  <r>
    <x v="6"/>
    <s v="Non- Res New Construction Public Sector"/>
    <x v="41"/>
    <n v="10969.74"/>
    <n v="10999.36"/>
    <n v="10945.5"/>
    <n v="10950"/>
    <n v="12522.61"/>
    <n v="96359.16"/>
    <n v="14808.22"/>
    <n v="9174.09"/>
    <n v="114630.43999999999"/>
    <n v="291359.12"/>
    <n v="39404.307058823528"/>
    <n v="49058.054913468412"/>
    <n v="101564.96668571429"/>
    <n v="481386.44865800627"/>
  </r>
  <r>
    <x v="5"/>
    <s v="EE - Commercial Food Private"/>
    <x v="42"/>
    <n v="19607.05"/>
    <n v="28055.79"/>
    <n v="91298.63"/>
    <n v="38701.800000000003"/>
    <n v="23990.34"/>
    <n v="22553.15"/>
    <n v="37401.839999999997"/>
    <n v="39516.9"/>
    <n v="29164.36"/>
    <n v="330289.86"/>
    <n v="49700"/>
    <n v="65887"/>
    <n v="41889.640000000014"/>
    <n v="487766.5"/>
  </r>
  <r>
    <x v="6"/>
    <s v="EE - Commercial Food Public"/>
    <x v="43"/>
    <n v="4196.6099999999997"/>
    <n v="813.31"/>
    <n v="1145.43"/>
    <n v="4508.55"/>
    <n v="464.18"/>
    <n v="990.75"/>
    <n v="5475.1900000000005"/>
    <n v="998.31"/>
    <n v="609.52"/>
    <n v="19201.850000000006"/>
    <n v="1764.1783333333333"/>
    <n v="1864.1783333333333"/>
    <n v="2767.4800000000032"/>
    <n v="25597.686666666676"/>
  </r>
  <r>
    <x v="2"/>
    <s v="Third Party C&amp;I Agricultural"/>
    <x v="6"/>
    <n v="0"/>
    <n v="0"/>
    <n v="0"/>
    <n v="0"/>
    <n v="0"/>
    <n v="0"/>
    <n v="0"/>
    <n v="0"/>
    <n v="0"/>
    <n v="0"/>
    <n v="0"/>
    <n v="0"/>
    <n v="0"/>
    <n v="0"/>
  </r>
  <r>
    <x v="2"/>
    <s v="Third Party C&amp;I Energy Smart Grocer"/>
    <x v="6"/>
    <n v="0"/>
    <n v="0"/>
    <n v="0"/>
    <n v="0"/>
    <n v="0"/>
    <n v="0"/>
    <n v="0"/>
    <n v="0"/>
    <n v="0"/>
    <n v="0"/>
    <n v="0"/>
    <n v="0"/>
    <n v="0"/>
    <n v="0"/>
  </r>
  <r>
    <x v="2"/>
    <s v="Public Buildings in Distressed Communities"/>
    <x v="6"/>
    <n v="0"/>
    <n v="0"/>
    <n v="0"/>
    <n v="0"/>
    <n v="0"/>
    <n v="0"/>
    <n v="0"/>
    <n v="0"/>
    <n v="0"/>
    <n v="0"/>
    <n v="0"/>
    <n v="0"/>
    <n v="0"/>
    <n v="0"/>
  </r>
  <r>
    <x v="2"/>
    <s v="Third Party C&amp;I Non Profit Retrofits"/>
    <x v="6"/>
    <n v="0"/>
    <n v="0"/>
    <n v="0"/>
    <n v="0"/>
    <n v="0"/>
    <n v="0"/>
    <n v="0"/>
    <n v="0"/>
    <n v="0"/>
    <n v="0"/>
    <n v="0"/>
    <n v="0"/>
    <n v="0"/>
    <n v="0"/>
  </r>
  <r>
    <x v="2"/>
    <s v="TOTAL"/>
    <x v="6"/>
    <n v="2442445.9900000002"/>
    <n v="3828151.24"/>
    <n v="3606137.0300000003"/>
    <n v="4198597.76"/>
    <n v="5082388.9399999995"/>
    <n v="6508365.0600000005"/>
    <n v="5221476.9800000014"/>
    <n v="5563632.9699999997"/>
    <n v="7210084.9000000004"/>
    <n v="43661280.870000005"/>
    <n v="7113144.4555920707"/>
    <n v="10312802.688513281"/>
    <n v="14112661.448991425"/>
    <n v="75199889.463096783"/>
  </r>
  <r>
    <x v="5"/>
    <s v="Facility Assessment"/>
    <x v="44"/>
    <n v="-4149.8999999999942"/>
    <n v="69043.95"/>
    <n v="57913.32"/>
    <n v="39230.590000000004"/>
    <n v="61180.369999999995"/>
    <n v="51747.31"/>
    <n v="65403.259999999995"/>
    <n v="38698.07"/>
    <n v="41547.429999999993"/>
    <n v="420614.40000000002"/>
    <n v="87195"/>
    <n v="46330"/>
    <n v="240964.89000000007"/>
    <n v="795104.29"/>
  </r>
  <r>
    <x v="6"/>
    <s v="Facility Assessment Public Sector"/>
    <x v="45"/>
    <n v="-2314.739999999998"/>
    <n v="35401.61"/>
    <n v="29667.79"/>
    <n v="20042.02"/>
    <n v="29184.01"/>
    <n v="25211.15"/>
    <n v="32724.090000000004"/>
    <n v="19935.310000000001"/>
    <n v="21403.160000000003"/>
    <n v="211254.39999999999"/>
    <n v="45417.5"/>
    <n v="22605"/>
    <n v="119086.17999999996"/>
    <n v="398363.07999999996"/>
  </r>
  <r>
    <x v="3"/>
    <s v="Outreach Private Schools"/>
    <x v="20"/>
    <n v="6421.7199999999993"/>
    <n v="1127.5"/>
    <n v="2585.75"/>
    <n v="658.41"/>
    <n v="1127.5"/>
    <n v="1253.73"/>
    <n v="16990.490000000002"/>
    <n v="-7781.57"/>
    <n v="1200.17"/>
    <n v="23583.699999999997"/>
    <n v="1269"/>
    <n v="1269"/>
    <n v="19782.830000000002"/>
    <n v="45904.53"/>
  </r>
  <r>
    <x v="3"/>
    <s v="Outreach Public Schools"/>
    <x v="20"/>
    <n v="-121900.63"/>
    <n v="10147.5"/>
    <n v="23271.79"/>
    <n v="5925.6399999999994"/>
    <n v="10147.5"/>
    <n v="83721.03"/>
    <n v="-9723.09"/>
    <n v="20165.830000000002"/>
    <n v="103662.23000000001"/>
    <n v="125417.80000000002"/>
    <n v="12210"/>
    <n v="12210"/>
    <n v="207605.77000000002"/>
    <n v="357443.57000000007"/>
  </r>
  <r>
    <x v="2"/>
    <s v="Outreach Public Schools Tech Assistance"/>
    <x v="6"/>
    <m/>
    <m/>
    <m/>
    <m/>
    <m/>
    <m/>
    <m/>
    <m/>
    <m/>
    <n v="0"/>
    <m/>
    <m/>
    <m/>
    <m/>
  </r>
  <r>
    <x v="4"/>
    <s v="EE EUDS (Energy Usage Data System)"/>
    <x v="22"/>
    <n v="-3761.5"/>
    <n v="0"/>
    <n v="0"/>
    <n v="0"/>
    <n v="0"/>
    <n v="0"/>
    <n v="0"/>
    <n v="0"/>
    <n v="0"/>
    <n v="-3761.5"/>
    <n v="0"/>
    <n v="0"/>
    <n v="3761.5"/>
    <n v="0"/>
  </r>
  <r>
    <x v="2"/>
    <m/>
    <x v="6"/>
    <n v="-125705.05"/>
    <n v="115720.56"/>
    <n v="113438.65"/>
    <n v="65856.66"/>
    <n v="101639.37999999999"/>
    <n v="161933.21999999997"/>
    <n v="105394.75000000001"/>
    <n v="71017.640000000014"/>
    <n v="167812.99"/>
    <n v="777108.8"/>
    <n v="146091.5"/>
    <n v="82414"/>
    <n v="591201.17000000016"/>
    <n v="1596815.4700000002"/>
  </r>
  <r>
    <x v="2"/>
    <m/>
    <x v="6"/>
    <n v="0"/>
    <n v="0"/>
    <n v="0"/>
    <n v="0"/>
    <n v="0"/>
    <n v="0"/>
    <n v="0"/>
    <n v="0"/>
    <n v="0"/>
    <n v="0"/>
    <n v="0"/>
    <n v="0"/>
    <n v="0"/>
    <n v="0"/>
  </r>
  <r>
    <x v="4"/>
    <m/>
    <x v="22"/>
    <n v="380996.58000000013"/>
    <n v="392656.48999999993"/>
    <n v="416189.85999999969"/>
    <n v="420208.76000000007"/>
    <n v="371735.87999999995"/>
    <n v="370669.92000000004"/>
    <n v="416137.3"/>
    <n v="423450.79"/>
    <n v="433523.74"/>
    <n v="3625569.3199999994"/>
    <n v="340320"/>
    <n v="288569"/>
    <n v="271086"/>
    <n v="4525544.3199999994"/>
  </r>
  <r>
    <x v="2"/>
    <m/>
    <x v="6"/>
    <n v="9323491.1600000001"/>
    <n v="16034502.999999996"/>
    <n v="13759932.690000001"/>
    <n v="13456904.879999999"/>
    <n v="13711803.489999998"/>
    <n v="17749714.999999996"/>
    <n v="15080531.670000002"/>
    <n v="14564143"/>
    <n v="17151043.68"/>
    <n v="130832068.56999999"/>
    <n v="22461657.415592071"/>
    <n v="35861914.568513274"/>
    <n v="43261162.238991439"/>
    <n v="232416802.79309678"/>
  </r>
  <r>
    <x v="2"/>
    <m/>
    <x v="6"/>
    <n v="18894624.68"/>
    <n v="27544414.219999995"/>
    <n v="26452275.25"/>
    <n v="25258821.919999998"/>
    <n v="25601981.392228998"/>
    <n v="29775163.389999997"/>
    <n v="28201526.730000004"/>
    <n v="29337765.219999999"/>
    <n v="31299347.189999998"/>
    <n v="242365919.99222896"/>
    <n v="37451443.625143826"/>
    <n v="56786164.552942321"/>
    <n v="61031093.968869083"/>
    <n v="397634622.13918418"/>
  </r>
  <r>
    <x v="8"/>
    <s v="2023 Evaluation Expense"/>
    <x v="46"/>
    <n v="407935.9"/>
    <n v="572935.9"/>
    <n v="572935.9"/>
    <n v="572935.9"/>
    <n v="572936"/>
    <n v="54999.9"/>
    <n v="55000"/>
    <n v="55000"/>
    <n v="55000"/>
    <n v="2919679.5"/>
    <n v="0"/>
    <n v="0"/>
    <n v="0"/>
    <n v="2919679.5"/>
  </r>
  <r>
    <x v="8"/>
    <s v="2024 Evaluation Expense"/>
    <x v="46"/>
    <n v="200000"/>
    <n v="200000"/>
    <n v="200000"/>
    <n v="400000"/>
    <n v="500000"/>
    <n v="484935.9"/>
    <n v="584935.9"/>
    <n v="584935.9"/>
    <n v="584935.9"/>
    <n v="3739743.5999999996"/>
    <n v="384935.89750000002"/>
    <n v="384935.89750000002"/>
    <n v="284935.89750000002"/>
    <n v="4794551.2924999995"/>
  </r>
  <r>
    <x v="8"/>
    <s v="2025 Evaluation Expense"/>
    <x v="46"/>
    <n v="0"/>
    <n v="0"/>
    <n v="0"/>
    <n v="0"/>
    <n v="0"/>
    <n v="0"/>
    <n v="0"/>
    <n v="0"/>
    <n v="0"/>
    <n v="0"/>
    <n v="175278"/>
    <n v="175278"/>
    <n v="175278"/>
    <n v="525834"/>
  </r>
  <r>
    <x v="2"/>
    <m/>
    <x v="6"/>
    <n v="607935.9"/>
    <n v="772935.9"/>
    <n v="772935.9"/>
    <n v="972935.9"/>
    <n v="1072936"/>
    <n v="539935.80000000005"/>
    <n v="639935.9"/>
    <n v="639935.9"/>
    <n v="639935.9"/>
    <n v="6659423.1000000006"/>
    <n v="560213.89749999996"/>
    <n v="560213.89749999996"/>
    <n v="460213.89750000002"/>
    <n v="8240064.7925000004"/>
  </r>
  <r>
    <x v="4"/>
    <s v="AEG - 2021 Plan 6"/>
    <x v="22"/>
    <n v="121467"/>
    <n v="97415.359999999986"/>
    <n v="179564.71"/>
    <n v="373528.89999999997"/>
    <n v="499798.17000000004"/>
    <n v="409433.23"/>
    <n v="241834.66999999998"/>
    <n v="121292.51000000001"/>
    <n v="99978.87"/>
    <n v="2144313.42"/>
    <n v="120500"/>
    <n v="265000"/>
    <n v="-173732.87000000011"/>
    <n v="2356080.5499999998"/>
  </r>
  <r>
    <x v="4"/>
    <s v="EE Portfolio Admin Stakeholders"/>
    <x v="22"/>
    <n v="15725.99"/>
    <n v="15909.1"/>
    <n v="11528.7"/>
    <n v="15504.87"/>
    <n v="9933.9599999999991"/>
    <n v="31074.829999999998"/>
    <n v="65487.25"/>
    <n v="25697.78"/>
    <n v="12487.949999999999"/>
    <n v="203350.43000000002"/>
    <n v="25000"/>
    <n v="22500"/>
    <n v="4388.3499999999985"/>
    <n v="255238.78000000003"/>
  </r>
  <r>
    <x v="9"/>
    <s v="Research &amp; Development"/>
    <x v="47"/>
    <n v="334532.77"/>
    <n v="517569.41000000003"/>
    <n v="403500.69"/>
    <n v="354816.87"/>
    <n v="461471.56"/>
    <n v="681204.88000000012"/>
    <n v="331349.29000000004"/>
    <n v="485699.44999999995"/>
    <n v="489508.84"/>
    <n v="4059653.7600000007"/>
    <n v="663352.71"/>
    <n v="806978.21"/>
    <n v="1130590.42"/>
    <n v="6660575.1000000006"/>
  </r>
  <r>
    <x v="9"/>
    <s v="Research &amp; Development - Income Eligible"/>
    <x v="47"/>
    <n v="25472"/>
    <n v="16225.54"/>
    <n v="29638.080000000002"/>
    <n v="11409.79"/>
    <n v="24558.9"/>
    <n v="15822.03"/>
    <n v="35296.270000000004"/>
    <n v="45114.359999999993"/>
    <n v="77162.929999999993"/>
    <n v="280699.89999999997"/>
    <n v="164247.03"/>
    <n v="213555.51"/>
    <n v="333488.09000000008"/>
    <n v="991990.53"/>
  </r>
  <r>
    <x v="9"/>
    <s v="Research &amp; Development - Income Eligible"/>
    <x v="47"/>
    <n v="0"/>
    <n v="0"/>
    <n v="0"/>
    <n v="0"/>
    <n v="0"/>
    <n v="0"/>
    <n v="0"/>
    <n v="0"/>
    <n v="0"/>
    <n v="0"/>
    <n v="0"/>
    <n v="0"/>
    <n v="0"/>
    <n v="0"/>
  </r>
  <r>
    <x v="2"/>
    <s v="Emerging Tech (ET) and Market Transformation (MT)"/>
    <x v="6"/>
    <n v="360004.77"/>
    <n v="533794.95000000007"/>
    <n v="433138.77"/>
    <n v="366226.66"/>
    <n v="486030.46"/>
    <n v="697026.91000000015"/>
    <n v="366645.56000000006"/>
    <n v="530813.80999999994"/>
    <n v="566671.77"/>
    <n v="4340353.66"/>
    <n v="827599.74"/>
    <n v="1020533.72"/>
    <n v="1464078.51"/>
    <n v="7652565.6299999999"/>
  </r>
  <r>
    <x v="4"/>
    <s v="Internal Legal and Outside Counsel"/>
    <x v="22"/>
    <n v="578.17999999999995"/>
    <n v="63.819999999999993"/>
    <n v="1225.3999999999999"/>
    <n v="-862.42999999999984"/>
    <n v="4170.72"/>
    <n v="30.25"/>
    <n v="2485.63"/>
    <n v="-679.07999999999947"/>
    <n v="446.6699999999999"/>
    <n v="7459.1600000000017"/>
    <n v="5000"/>
    <n v="5000"/>
    <n v="5000"/>
    <n v="22459.160000000003"/>
  </r>
  <r>
    <x v="4"/>
    <s v="Non-EE Labor Charges re: PCI Timekeeping Rpt"/>
    <x v="22"/>
    <n v="0"/>
    <n v="837.4200000000003"/>
    <n v="2421.4800000000009"/>
    <n v="5774.2300000000005"/>
    <n v="9692.81"/>
    <n v="3728.49"/>
    <n v="1965.56"/>
    <n v="2269.7600000000007"/>
    <n v="159.02000000000007"/>
    <n v="26848.770000000004"/>
    <n v="5000"/>
    <n v="5000"/>
    <n v="5000"/>
    <n v="41848.770000000004"/>
  </r>
  <r>
    <x v="4"/>
    <s v="EE- Portfolio Analytics Services &amp; Su"/>
    <x v="22"/>
    <n v="55976"/>
    <n v="-10919"/>
    <n v="25928"/>
    <n v="22609"/>
    <n v="19714"/>
    <n v="15213"/>
    <n v="15951.5"/>
    <n v="17944.5"/>
    <n v="19944.5"/>
    <n v="182361.5"/>
    <n v="20000"/>
    <n v="20000"/>
    <n v="26940.807500001043"/>
    <n v="249302.30750000104"/>
  </r>
  <r>
    <x v="2"/>
    <s v="EE-Mrkt Research"/>
    <x v="6"/>
    <n v="0"/>
    <n v="0"/>
    <n v="0"/>
    <n v="0"/>
    <n v="0"/>
    <n v="0"/>
    <n v="0"/>
    <n v="0"/>
    <n v="0"/>
    <n v="0"/>
    <n v="0"/>
    <n v="0"/>
    <n v="0"/>
    <n v="0"/>
  </r>
  <r>
    <x v="2"/>
    <s v="Legal and IT Support"/>
    <x v="6"/>
    <n v="56554.18"/>
    <n v="-10017.76"/>
    <n v="29574.880000000001"/>
    <n v="27520.800000000003"/>
    <n v="33577.53"/>
    <n v="18971.739999999998"/>
    <n v="20402.690000000002"/>
    <n v="19535.18"/>
    <n v="20550.189999999999"/>
    <n v="216669.43"/>
    <n v="30000"/>
    <n v="30000"/>
    <n v="36940.807500001043"/>
    <n v="313610.23750000104"/>
  </r>
  <r>
    <x v="2"/>
    <m/>
    <x v="6"/>
    <n v="0"/>
    <n v="0"/>
    <n v="0"/>
    <n v="0"/>
    <n v="0"/>
    <n v="0"/>
    <n v="0"/>
    <n v="0"/>
    <n v="0"/>
    <n v="0"/>
    <n v="0"/>
    <n v="0"/>
    <n v="0"/>
    <n v="0"/>
  </r>
  <r>
    <x v="4"/>
    <m/>
    <x v="22"/>
    <n v="148310.19"/>
    <n v="158715.33000000002"/>
    <n v="184663.38"/>
    <n v="157183.43999999994"/>
    <n v="132135.51000000004"/>
    <n v="118832.38999999998"/>
    <n v="105656.32000000001"/>
    <n v="137212.98000000001"/>
    <n v="143404.27000000002"/>
    <n v="1286113.81"/>
    <n v="162070.9217440449"/>
    <n v="143699.83720431"/>
    <n v="135146.49253388715"/>
    <n v="1727031.0614822423"/>
  </r>
  <r>
    <x v="2"/>
    <m/>
    <x v="6"/>
    <n v="1309998.03"/>
    <n v="1568752.88"/>
    <n v="1611406.3399999999"/>
    <n v="1912900.5699999998"/>
    <n v="2234411.63"/>
    <n v="1815274.9000000001"/>
    <n v="1439962.3900000001"/>
    <n v="1474488.1600000001"/>
    <n v="1483028.95"/>
    <n v="14850223.85"/>
    <n v="1725384.5592440448"/>
    <n v="2041947.4547043098"/>
    <n v="1927035.187533888"/>
    <n v="20544591.051482242"/>
  </r>
  <r>
    <x v="4"/>
    <s v="EE Portfolio Admin eTrack"/>
    <x v="22"/>
    <n v="59182"/>
    <n v="59182"/>
    <n v="59182"/>
    <n v="59182"/>
    <n v="59182"/>
    <n v="78307"/>
    <n v="59182"/>
    <n v="74822"/>
    <n v="13600"/>
    <n v="521821"/>
    <n v="177480.66666666666"/>
    <n v="186496.69666666666"/>
    <n v="226111.69166666677"/>
    <n v="1111910.0550000002"/>
  </r>
  <r>
    <x v="4"/>
    <s v="EE Portfolio Admin Salesforce"/>
    <x v="22"/>
    <n v="112389.38"/>
    <n v="95268.919999999969"/>
    <n v="105138.58999999998"/>
    <n v="110284.20999999999"/>
    <n v="211694.11000000002"/>
    <n v="109024.81"/>
    <n v="122617.77"/>
    <n v="107760.17"/>
    <n v="124872.67"/>
    <n v="1099050.6300000001"/>
    <n v="113316.84"/>
    <n v="113316.84"/>
    <n v="101761.00999999992"/>
    <n v="1427445.3200000003"/>
  </r>
  <r>
    <x v="4"/>
    <s v="EE Scorecard Automation"/>
    <x v="22"/>
    <n v="36529.22"/>
    <n v="17903.5"/>
    <n v="14906.75"/>
    <n v="9502.74"/>
    <n v="-363.41000000000008"/>
    <n v="-3.5599999999999454"/>
    <n v="-4.5599999999999454"/>
    <n v="0"/>
    <n v="0"/>
    <n v="78470.680000000008"/>
    <n v="33333.333333333336"/>
    <n v="84309.098333333328"/>
    <n v="106623.765"/>
    <n v="302736.87666666665"/>
  </r>
  <r>
    <x v="2"/>
    <m/>
    <x v="6"/>
    <n v="208100.6"/>
    <n v="172354.41999999998"/>
    <n v="179227.33999999997"/>
    <n v="178968.94999999998"/>
    <n v="270512.7"/>
    <n v="187328.25"/>
    <n v="181795.21000000002"/>
    <n v="182582.16999999998"/>
    <n v="138472.66999999998"/>
    <n v="1699342.3099999998"/>
    <n v="324130.83999999997"/>
    <n v="384122.63499999995"/>
    <n v="434496.46666666667"/>
    <n v="2842092.2516666665"/>
  </r>
  <r>
    <x v="4"/>
    <s v="EE-Gen Portfolio Support"/>
    <x v="22"/>
    <n v="140848.87"/>
    <n v="141866.40000000002"/>
    <n v="170664.62"/>
    <n v="147325.63"/>
    <n v="161144.91999999998"/>
    <n v="175128.89"/>
    <n v="121654.48"/>
    <n v="145257.69"/>
    <n v="153322.77000000002"/>
    <n v="1357214.27"/>
    <n v="305894.09000000003"/>
    <n v="275633.90000000002"/>
    <n v="317915.36538461549"/>
    <n v="2256657.6253846157"/>
  </r>
  <r>
    <x v="4"/>
    <s v="Market Development Initiative"/>
    <x v="22"/>
    <n v="229523.61"/>
    <n v="192533.5"/>
    <n v="266945.09999999998"/>
    <n v="468894.87"/>
    <n v="361011.62"/>
    <n v="482178.91999999993"/>
    <n v="300444.24000000005"/>
    <n v="327240.88000000006"/>
    <n v="819945.18"/>
    <n v="3448717.9200000004"/>
    <n v="650029.6"/>
    <n v="609382.6"/>
    <n v="539824.0199999999"/>
    <n v="5247954.1399999997"/>
  </r>
  <r>
    <x v="4"/>
    <s v="Cost of EDA on bill financing"/>
    <x v="22"/>
    <n v="9872.41"/>
    <n v="9710.0600000000013"/>
    <n v="8723.81"/>
    <n v="8737.4"/>
    <n v="9483.75"/>
    <n v="10135.450000000001"/>
    <n v="8652.61"/>
    <n v="11398.619999999999"/>
    <n v="7029.05"/>
    <n v="83743.16"/>
    <n v="11130"/>
    <n v="11130"/>
    <n v="23192.949999999997"/>
    <n v="129196.11"/>
  </r>
  <r>
    <x v="2"/>
    <m/>
    <x v="6"/>
    <n v="380244.88999999996"/>
    <n v="344109.96"/>
    <n v="446333.52999999997"/>
    <n v="624957.9"/>
    <n v="531640.29"/>
    <n v="667443.25999999989"/>
    <n v="430751.33"/>
    <n v="483897.19000000006"/>
    <n v="980297.00000000012"/>
    <n v="4889675.3499999996"/>
    <n v="967053.69"/>
    <n v="896146.5"/>
    <n v="880932.33538461535"/>
    <n v="7633807.8753846148"/>
  </r>
  <r>
    <x v="2"/>
    <s v="Forecast File Enhancement"/>
    <x v="6"/>
    <n v="0"/>
    <n v="0"/>
    <n v="0"/>
    <n v="0"/>
    <n v="0"/>
    <n v="0"/>
    <n v="0"/>
    <n v="0"/>
    <n v="0"/>
    <n v="0"/>
    <n v="0"/>
    <n v="0"/>
    <n v="0"/>
    <n v="0"/>
  </r>
  <r>
    <x v="2"/>
    <m/>
    <x v="6"/>
    <n v="0"/>
    <n v="0"/>
    <n v="0"/>
    <n v="0"/>
    <n v="0"/>
    <n v="0"/>
    <n v="0"/>
    <n v="0"/>
    <n v="0"/>
    <n v="0"/>
    <n v="0"/>
    <n v="0"/>
    <n v="0"/>
    <n v="0"/>
  </r>
  <r>
    <x v="2"/>
    <m/>
    <x v="6"/>
    <n v="0"/>
    <n v="0"/>
    <n v="0"/>
    <n v="0"/>
    <n v="0"/>
    <n v="0"/>
    <n v="0"/>
    <n v="0"/>
    <n v="0"/>
    <n v="0"/>
    <n v="0"/>
    <n v="0"/>
    <n v="0"/>
    <n v="0"/>
  </r>
  <r>
    <x v="4"/>
    <s v="General Program Costs"/>
    <x v="22"/>
    <n v="50129.06"/>
    <n v="1093.7099999999998"/>
    <n v="814"/>
    <n v="0"/>
    <n v="0"/>
    <n v="0"/>
    <n v="0"/>
    <n v="0"/>
    <n v="0"/>
    <n v="52036.77"/>
    <n v="0"/>
    <n v="1462598.8247648198"/>
    <n v="1453829.7472648621"/>
    <n v="2968465.3420296819"/>
  </r>
  <r>
    <x v="4"/>
    <s v="EE - Conference Travel Costs"/>
    <x v="22"/>
    <n v="2064.94"/>
    <n v="759.29999999999859"/>
    <n v="2324.8200000000002"/>
    <n v="4082.9"/>
    <n v="567.66"/>
    <n v="4159.3"/>
    <n v="4937.4799999999996"/>
    <n v="795.91"/>
    <n v="2328.27"/>
    <n v="22020.579999999998"/>
    <n v="500"/>
    <n v="500"/>
    <n v="500"/>
    <n v="23520.579999999998"/>
  </r>
  <r>
    <x v="2"/>
    <s v=" Portfolio Admin Support"/>
    <x v="6"/>
    <n v="0"/>
    <n v="0"/>
    <n v="0"/>
    <n v="0"/>
    <n v="0"/>
    <n v="0"/>
    <n v="0"/>
    <n v="0"/>
    <n v="0"/>
    <n v="0"/>
    <n v="0"/>
    <n v="0"/>
    <n v="0"/>
    <n v="0"/>
  </r>
  <r>
    <x v="2"/>
    <s v="General Admin and EE Travel"/>
    <x v="6"/>
    <n v="52194"/>
    <n v="1853.0099999999984"/>
    <n v="3138.82"/>
    <n v="4082.9"/>
    <n v="567.66"/>
    <n v="4159.3"/>
    <n v="4937.4799999999996"/>
    <n v="795.91"/>
    <n v="2328.27"/>
    <n v="74057.350000000006"/>
    <n v="500"/>
    <n v="1463098.8247648198"/>
    <n v="1454329.7472648621"/>
    <n v="2991985.922029682"/>
  </r>
  <r>
    <x v="4"/>
    <s v="Call Center Budget"/>
    <x v="22"/>
    <n v="25532.11"/>
    <n v="25283.57"/>
    <n v="27318.129999999997"/>
    <n v="26023.41"/>
    <n v="32715.880000000005"/>
    <n v="30800.83"/>
    <n v="33579.479999999996"/>
    <n v="30229.629999999997"/>
    <n v="31181.629999999997"/>
    <n v="262664.67"/>
    <n v="31433"/>
    <n v="31433"/>
    <n v="34495.39"/>
    <n v="360026.06"/>
  </r>
  <r>
    <x v="2"/>
    <m/>
    <x v="6"/>
    <n v="25532.11"/>
    <n v="25283.57"/>
    <n v="27318.129999999997"/>
    <n v="26023.41"/>
    <n v="32715.880000000005"/>
    <n v="30800.83"/>
    <n v="33579.479999999996"/>
    <n v="30229.629999999997"/>
    <n v="31181.629999999997"/>
    <n v="262664.67"/>
    <n v="31433"/>
    <n v="31433"/>
    <n v="34495.39"/>
    <n v="360026.06"/>
  </r>
  <r>
    <x v="2"/>
    <m/>
    <x v="6"/>
    <n v="0"/>
    <n v="0"/>
    <n v="0"/>
    <n v="0"/>
    <n v="0"/>
    <n v="0"/>
    <n v="0"/>
    <n v="0"/>
    <n v="0"/>
    <n v="0"/>
    <n v="0"/>
    <n v="0"/>
    <n v="0"/>
    <n v="0"/>
  </r>
  <r>
    <x v="4"/>
    <m/>
    <x v="22"/>
    <n v="214180.96"/>
    <n v="218446.95999999996"/>
    <n v="245138.76000000007"/>
    <n v="237501.95999999996"/>
    <n v="249490.21999999997"/>
    <n v="232770.78000000003"/>
    <n v="224690.80000000002"/>
    <n v="198452.23"/>
    <n v="197945.07"/>
    <n v="2018617.74"/>
    <n v="248427"/>
    <n v="210143"/>
    <n v="209117"/>
    <n v="2686304.74"/>
  </r>
  <r>
    <x v="2"/>
    <m/>
    <x v="6"/>
    <n v="880252.55999999994"/>
    <n v="762047.91999999993"/>
    <n v="901156.58"/>
    <n v="1071535.1199999999"/>
    <n v="1084926.75"/>
    <n v="1122502.42"/>
    <n v="875754.3"/>
    <n v="895957.13000000012"/>
    <n v="1350224.6400000001"/>
    <n v="8944357.4199999999"/>
    <n v="1571544.5299999998"/>
    <n v="2984943.9597648196"/>
    <n v="3013370.9393161442"/>
    <n v="16514216.849080963"/>
  </r>
  <r>
    <x v="4"/>
    <m/>
    <x v="22"/>
    <n v="29778.019999999997"/>
    <n v="19171.370000000006"/>
    <n v="32770.799999999996"/>
    <n v="-2012.1699999999998"/>
    <n v="-198.72000000000003"/>
    <n v="10387.08"/>
    <n v="-10387.08"/>
    <n v="0"/>
    <n v="0"/>
    <n v="79509.3"/>
    <n v="0"/>
    <n v="0"/>
    <n v="0"/>
    <n v="79509.3"/>
  </r>
  <r>
    <x v="2"/>
    <m/>
    <x v="6"/>
    <n v="2220028.61"/>
    <n v="2349972.17"/>
    <n v="2545333.7199999997"/>
    <n v="2982423.5199999996"/>
    <n v="3319139.66"/>
    <n v="2948164.4000000004"/>
    <n v="2305329.6100000003"/>
    <n v="2370445.29"/>
    <n v="2833253.59"/>
    <n v="23874090.57"/>
    <n v="3296929.0892440444"/>
    <n v="5026891.4144691294"/>
    <n v="4940406.1268500322"/>
    <n v="37138317.200563207"/>
  </r>
  <r>
    <x v="2"/>
    <m/>
    <x v="6"/>
    <n v="21114653.289999999"/>
    <n v="29894386.389999993"/>
    <n v="28997608.969999999"/>
    <n v="28241245.439999998"/>
    <n v="28921121.052228998"/>
    <n v="32723327.789999999"/>
    <n v="30506856.340000004"/>
    <n v="31708210.509999998"/>
    <n v="34132600.780000001"/>
    <n v="266240010.56222898"/>
    <n v="40748372.714387871"/>
    <n v="61813055.967411451"/>
    <n v="65971500.095719114"/>
    <n v="434772939.33974743"/>
  </r>
  <r>
    <x v="2"/>
    <m/>
    <x v="6"/>
    <m/>
    <m/>
    <m/>
    <m/>
    <m/>
    <m/>
    <m/>
    <m/>
    <m/>
    <n v="0"/>
    <m/>
    <m/>
    <m/>
    <m/>
  </r>
  <r>
    <x v="2"/>
    <s v="EE Incentives for replacement of ComEd-owned streetlights"/>
    <x v="6"/>
    <n v="0"/>
    <n v="0"/>
    <n v="0"/>
    <n v="0"/>
    <n v="0"/>
    <n v="0"/>
    <n v="0"/>
    <n v="0"/>
    <n v="0"/>
    <n v="0"/>
    <n v="0"/>
    <n v="0"/>
    <n v="0"/>
    <n v="0"/>
  </r>
  <r>
    <x v="2"/>
    <m/>
    <x v="6"/>
    <n v="21114653.289999999"/>
    <n v="29894386.389999993"/>
    <n v="28997608.969999999"/>
    <n v="28241245.439999998"/>
    <n v="28921121.052228998"/>
    <n v="32723327.789999999"/>
    <n v="30506856.340000004"/>
    <n v="31708210.509999998"/>
    <n v="34132600.780000001"/>
    <n v="266240010.56222898"/>
    <n v="40748372.714387871"/>
    <n v="61813055.967411451"/>
    <n v="65971500.095719114"/>
    <n v="434772939.3397474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D677E3B-4B73-4551-ACC0-EF1E1FD6B101}" name="PivotTable1"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136:D193" firstHeaderRow="0" firstDataRow="1" firstDataCol="1"/>
  <pivotFields count="17">
    <pivotField axis="axisRow" showAll="0">
      <items count="11">
        <item x="7"/>
        <item x="5"/>
        <item x="6"/>
        <item x="9"/>
        <item x="8"/>
        <item x="1"/>
        <item x="0"/>
        <item x="3"/>
        <item x="4"/>
        <item h="1" x="2"/>
        <item t="default"/>
      </items>
    </pivotField>
    <pivotField showAll="0"/>
    <pivotField axis="axisRow" showAll="0">
      <items count="49">
        <item x="10"/>
        <item x="17"/>
        <item x="13"/>
        <item x="16"/>
        <item x="30"/>
        <item x="42"/>
        <item x="43"/>
        <item x="15"/>
        <item x="34"/>
        <item x="35"/>
        <item x="47"/>
        <item x="46"/>
        <item x="44"/>
        <item x="45"/>
        <item x="11"/>
        <item x="18"/>
        <item x="31"/>
        <item x="20"/>
        <item x="38"/>
        <item x="39"/>
        <item x="3"/>
        <item x="1"/>
        <item x="2"/>
        <item x="40"/>
        <item x="41"/>
        <item x="22"/>
        <item x="23"/>
        <item x="28"/>
        <item x="12"/>
        <item x="8"/>
        <item x="29"/>
        <item x="21"/>
        <item x="19"/>
        <item x="14"/>
        <item x="9"/>
        <item x="36"/>
        <item x="37"/>
        <item x="5"/>
        <item x="0"/>
        <item x="4"/>
        <item x="26"/>
        <item x="27"/>
        <item x="24"/>
        <item x="25"/>
        <item x="32"/>
        <item x="33"/>
        <item x="7"/>
        <item x="6"/>
        <item t="default"/>
      </items>
    </pivotField>
    <pivotField showAll="0"/>
    <pivotField showAll="0"/>
    <pivotField showAll="0"/>
    <pivotField showAll="0"/>
    <pivotField showAll="0"/>
    <pivotField showAll="0"/>
    <pivotField showAll="0"/>
    <pivotField showAll="0"/>
    <pivotField showAll="0"/>
    <pivotField dataField="1" numFmtId="167" showAll="0"/>
    <pivotField showAll="0"/>
    <pivotField showAll="0"/>
    <pivotField showAll="0"/>
    <pivotField dataField="1" showAll="0"/>
  </pivotFields>
  <rowFields count="2">
    <field x="0"/>
    <field x="2"/>
  </rowFields>
  <rowItems count="57">
    <i>
      <x/>
    </i>
    <i r="1">
      <x v="4"/>
    </i>
    <i>
      <x v="1"/>
    </i>
    <i r="1">
      <x v="5"/>
    </i>
    <i r="1">
      <x v="8"/>
    </i>
    <i r="1">
      <x v="12"/>
    </i>
    <i r="1">
      <x v="16"/>
    </i>
    <i r="1">
      <x v="18"/>
    </i>
    <i r="1">
      <x v="23"/>
    </i>
    <i r="1">
      <x v="26"/>
    </i>
    <i r="1">
      <x v="27"/>
    </i>
    <i r="1">
      <x v="35"/>
    </i>
    <i r="1">
      <x v="40"/>
    </i>
    <i r="1">
      <x v="42"/>
    </i>
    <i r="1">
      <x v="44"/>
    </i>
    <i>
      <x v="2"/>
    </i>
    <i r="1">
      <x v="6"/>
    </i>
    <i r="1">
      <x v="9"/>
    </i>
    <i r="1">
      <x v="13"/>
    </i>
    <i r="1">
      <x v="19"/>
    </i>
    <i r="1">
      <x v="24"/>
    </i>
    <i r="1">
      <x v="30"/>
    </i>
    <i r="1">
      <x v="36"/>
    </i>
    <i r="1">
      <x v="41"/>
    </i>
    <i r="1">
      <x v="43"/>
    </i>
    <i r="1">
      <x v="45"/>
    </i>
    <i>
      <x v="3"/>
    </i>
    <i r="1">
      <x v="10"/>
    </i>
    <i>
      <x v="4"/>
    </i>
    <i r="1">
      <x v="11"/>
    </i>
    <i>
      <x v="5"/>
    </i>
    <i r="1">
      <x/>
    </i>
    <i r="1">
      <x v="1"/>
    </i>
    <i r="1">
      <x v="15"/>
    </i>
    <i r="1">
      <x v="20"/>
    </i>
    <i r="1">
      <x v="22"/>
    </i>
    <i r="1">
      <x v="28"/>
    </i>
    <i r="1">
      <x v="33"/>
    </i>
    <i r="1">
      <x v="37"/>
    </i>
    <i r="1">
      <x v="39"/>
    </i>
    <i r="1">
      <x v="46"/>
    </i>
    <i>
      <x v="6"/>
    </i>
    <i r="1">
      <x v="2"/>
    </i>
    <i r="1">
      <x v="3"/>
    </i>
    <i r="1">
      <x v="7"/>
    </i>
    <i r="1">
      <x v="14"/>
    </i>
    <i r="1">
      <x v="21"/>
    </i>
    <i r="1">
      <x v="29"/>
    </i>
    <i r="1">
      <x v="31"/>
    </i>
    <i r="1">
      <x v="32"/>
    </i>
    <i r="1">
      <x v="34"/>
    </i>
    <i r="1">
      <x v="38"/>
    </i>
    <i>
      <x v="7"/>
    </i>
    <i r="1">
      <x v="17"/>
    </i>
    <i>
      <x v="8"/>
    </i>
    <i r="1">
      <x v="25"/>
    </i>
    <i t="grand">
      <x/>
    </i>
  </rowItems>
  <colFields count="1">
    <field x="-2"/>
  </colFields>
  <colItems count="2">
    <i>
      <x/>
    </i>
    <i i="1">
      <x v="1"/>
    </i>
  </colItems>
  <dataFields count="2">
    <dataField name="Sum of Q3 YTD" fld="12" baseField="0" baseItem="0"/>
    <dataField name="Sum of 2024" fld="16"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9" dT="2024-04-17T19:01:38.50" personId="{BA2B3981-C5E5-49DF-AFD9-5E37C6648BF5}" id="{0BA72054-2FB1-4855-B3C1-53F849272D68}">
    <text xml:space="preserve">FYI - changing this here changes all other tab headers
</text>
  </threadedComment>
  <threadedComment ref="C43" dT="2024-04-25T15:03:11.49" personId="{BA2B3981-C5E5-49DF-AFD9-5E37C6648BF5}" id="{E126F974-CC80-4A3C-8FDB-6FCBA73C1045}">
    <text>Can hide row</text>
  </threadedComment>
  <threadedComment ref="C62" dT="2024-04-25T17:12:31.65" personId="{BA2B3981-C5E5-49DF-AFD9-5E37C6648BF5}" id="{8A233EE7-7EB8-4FDF-97BC-E3CD7C730792}">
    <text>Can hide</text>
  </threadedComment>
  <threadedComment ref="C83" dT="2024-11-07T19:52:11.85" personId="{BA2B3981-C5E5-49DF-AFD9-5E37C6648BF5}" id="{175E2C08-8401-4283-96C8-18A936FEA765}">
    <text>@Lee, Abbey Rose:(ComEd)  - check that the vlookup for HER is looking at the right enry in the LE - the LE file has 2 rows for it because it used to reside in R D2C - they have since blanked out the whole row in that section; Now its in Res Journey. Note that once you add this you will need to also update the Portfolio Total in the 2 - Costs tab</text>
    <mentions>
      <mention mentionpersonId="{6685DF35-9EDF-45C9-9FFB-CFBC6B6398E7}" mentionId="{E4F12D86-A668-42A4-87D1-730EDE553E49}" startIndex="0" length="24"/>
    </mentions>
  </threadedComment>
  <threadedComment ref="E86" dT="2024-04-17T19:17:29.81" personId="{BA2B3981-C5E5-49DF-AFD9-5E37C6648BF5}" id="{4CFFACAC-6AA1-48FF-8D93-6C4CCBB92EB8}" done="1">
    <text>Was missing 6000 from RPP</text>
  </threadedComment>
  <threadedComment ref="E114" dT="2024-04-17T19:47:02.49" personId="{BA2B3981-C5E5-49DF-AFD9-5E37C6648BF5}" id="{230A8F3A-BC75-4C5F-A96F-912C9AE6097F}" done="1">
    <text>The "other" savings item goes here (i.e. the nicor purchase agreement)</text>
  </threadedComment>
  <threadedComment ref="E115" dT="2024-04-17T19:47:43.69" personId="{BA2B3981-C5E5-49DF-AFD9-5E37C6648BF5}" id="{B2BD7A82-8ABB-4F66-AC22-A29F42CDDB5D}" done="1">
    <text xml:space="preserve">Updated to the 2024 lighting carryover </text>
  </threadedComment>
  <threadedComment ref="E117" dT="2024-04-17T19:51:22.68" personId="{BA2B3981-C5E5-49DF-AFD9-5E37C6648BF5}" id="{ED3799F7-C80B-48DA-9881-A5D1D2617265}">
    <text>We may need to review with Josh which EEE savings we shold proceed with (i.e. is he using the ajdusted EEE totals (with IE minimum applied) or proceedign with EEE totals</text>
  </threadedComment>
  <threadedComment ref="E117" dT="2024-04-30T20:22:36.64" personId="{BA2B3981-C5E5-49DF-AFD9-5E37C6648BF5}" id="{DD833B81-B127-4466-B34F-880C6FA7B585}" parentId="{ED3799F7-C80B-48DA-9881-A5D1D2617265}">
    <text xml:space="preserve">@Lee, Abbey Rose:(ComEd)  - now that we have the eval report drafts available, reach out to Elder to see which R&amp;D savings, carryover, and other (i.e. Nicor purchase) savings we are going forward with . </text>
    <mentions>
      <mention mentionpersonId="{6685DF35-9EDF-45C9-9FFB-CFBC6B6398E7}" mentionId="{91F7E13E-BF11-4797-A1CB-50B77F98BC91}" startIndex="0" length="24"/>
    </mentions>
  </threadedComment>
  <threadedComment ref="G117" dT="2024-04-17T19:51:22.68" personId="{BA2B3981-C5E5-49DF-AFD9-5E37C6648BF5}" id="{7F9D2711-3226-4142-939F-731E50FA64E9}">
    <text>We may need to review with Josh which EEE savings we shold proceed with (i.e. is he using the ajdusted EEE totals (with IE minimum applied) or proceedign with EEE totals</text>
  </threadedComment>
  <threadedComment ref="G117" dT="2024-04-30T20:22:36.64" personId="{BA2B3981-C5E5-49DF-AFD9-5E37C6648BF5}" id="{44182BA3-2D20-4FAF-B483-170A9B53A637}" parentId="{7F9D2711-3226-4142-939F-731E50FA64E9}">
    <text xml:space="preserve">@Lee, Abbey Rose:(ComEd)  - now that we have the eval report drafts available, reach out to Elder to see which R&amp;D savings, carryover, and other (i.e. Nicor purchase) savings we are going forward with . </text>
    <mentions>
      <mention mentionpersonId="{6685DF35-9EDF-45C9-9FFB-CFBC6B6398E7}" mentionId="{E3E8F575-DE94-4A27-BEE3-A1796028AAE5}" startIndex="0" length="24"/>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C19" dT="2024-04-17T19:01:38.50" personId="{BA2B3981-C5E5-49DF-AFD9-5E37C6648BF5}" id="{3A2D48B8-7A88-4157-92AB-84C4C0E25BEC}">
    <text xml:space="preserve">FYI - changing this here changes all other tab headers
</text>
  </threadedComment>
  <threadedComment ref="C43" dT="2024-04-25T15:03:11.49" personId="{BA2B3981-C5E5-49DF-AFD9-5E37C6648BF5}" id="{4E3A03C5-EDF6-4159-8692-090CB07CECF7}">
    <text>Can hide row</text>
  </threadedComment>
  <threadedComment ref="C62" dT="2024-04-25T17:12:31.65" personId="{BA2B3981-C5E5-49DF-AFD9-5E37C6648BF5}" id="{A51C3F01-8B58-4E88-8FF5-E6A118600227}">
    <text>Can hide</text>
  </threadedComment>
  <threadedComment ref="E86" dT="2024-04-17T19:17:29.81" personId="{BA2B3981-C5E5-49DF-AFD9-5E37C6648BF5}" id="{D94618FA-F6E4-4361-BE3A-B0A12F9862D3}" done="1">
    <text>Was missing 6000 from RPP</text>
  </threadedComment>
  <threadedComment ref="E91" dT="2024-04-17T19:18:15.32" personId="{BA2B3981-C5E5-49DF-AFD9-5E37C6648BF5}" id="{E4B98DA8-CE01-4891-9364-5BE33CEA7AA3}" done="1">
    <text>Added program - electrification component added this year</text>
  </threadedComment>
  <threadedComment ref="E113" dT="2024-04-17T19:47:02.49" personId="{BA2B3981-C5E5-49DF-AFD9-5E37C6648BF5}" id="{DE32D089-4AF5-4F5A-A7A8-A9477532E601}" done="1">
    <text>The "other" savings item goes here (i.e. the nicor purchase agreement)</text>
  </threadedComment>
  <threadedComment ref="E114" dT="2024-04-17T19:47:43.69" personId="{BA2B3981-C5E5-49DF-AFD9-5E37C6648BF5}" id="{22482A0A-ED42-41E1-8A91-732A6E0A2A94}" done="1">
    <text xml:space="preserve">Updated to the 2024 lighting carryover </text>
  </threadedComment>
  <threadedComment ref="E116" dT="2024-04-17T19:51:22.68" personId="{BA2B3981-C5E5-49DF-AFD9-5E37C6648BF5}" id="{DC444712-3CC7-4346-940C-93A488CA2209}">
    <text>We may need to review with Josh which EEE savings we shold proceed with (i.e. is he using the ajdusted EEE totals (with IE minimum applied) or proceedign with EEE totals</text>
  </threadedComment>
  <threadedComment ref="E116" dT="2024-04-30T20:22:36.64" personId="{BA2B3981-C5E5-49DF-AFD9-5E37C6648BF5}" id="{FF6F2A5D-2F85-423B-831E-F4E9A5D5F9BB}" parentId="{DC444712-3CC7-4346-940C-93A488CA2209}">
    <text xml:space="preserve">@Lee, Abbey Rose:(ComEd)  - now that we have the eval report drafts available, reach out to Elder to see which R&amp;D savings, carryover, and other (i.e. Nicor purchase) savings we are going forward with . </text>
    <mentions>
      <mention mentionpersonId="{6685DF35-9EDF-45C9-9FFB-CFBC6B6398E7}" mentionId="{69235971-0A8C-418B-89E6-EA59413DDEC2}" startIndex="0" length="24"/>
    </mentions>
  </threadedComment>
  <threadedComment ref="G116" dT="2024-04-17T19:51:22.68" personId="{BA2B3981-C5E5-49DF-AFD9-5E37C6648BF5}" id="{CB7BBFE8-8ADB-4A84-A730-6D3E403F3146}">
    <text>We may need to review with Josh which EEE savings we shold proceed with (i.e. is he using the ajdusted EEE totals (with IE minimum applied) or proceedign with EEE totals</text>
  </threadedComment>
  <threadedComment ref="G116" dT="2024-04-30T20:22:36.64" personId="{BA2B3981-C5E5-49DF-AFD9-5E37C6648BF5}" id="{6C79CCE6-2588-44BD-AD5E-8593C0D57340}" parentId="{CB7BBFE8-8ADB-4A84-A730-6D3E403F3146}">
    <text xml:space="preserve">@Lee, Abbey Rose:(ComEd)  - now that we have the eval report drafts available, reach out to Elder to see which R&amp;D savings, carryover, and other (i.e. Nicor purchase) savings we are going forward with . </text>
    <mentions>
      <mention mentionpersonId="{6685DF35-9EDF-45C9-9FFB-CFBC6B6398E7}" mentionId="{397B2326-E127-4439-A407-E4C93A7A4531}" startIndex="0" length="24"/>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F2" dT="2024-10-18T19:59:21.44" personId="{BA2B3981-C5E5-49DF-AFD9-5E37C6648BF5}" id="{07CC0F76-3EA5-4563-BDDA-E548F26E5973}">
    <text>@Lee, Abbey Rose:(ComEd) are these YTD representing the totals for programs in column D? otherwise, should the vlookup ref be changed to column I?</text>
    <mentions>
      <mention mentionpersonId="{6685DF35-9EDF-45C9-9FFB-CFBC6B6398E7}" mentionId="{9AFB9E7B-57E0-482D-BBB2-1EDB4F23E1BA}" startIndex="0" length="24"/>
    </mentions>
  </threadedComment>
  <threadedComment ref="F2" dT="2024-10-18T20:02:32.52" personId="{340D2F90-E72D-42D6-AEB0-ABDD4D63FC93}" id="{906913B6-C534-41DA-A3D4-79D4D230E65A}" parentId="{07CC0F76-3EA5-4563-BDDA-E548F26E5973}">
    <text>No, both column E and J are vlookups on the "9+3 Traditional Electric (MWh)' file in the supporting docs folder. The EEE data is referencing the '9+3 Net EEE Export' file for their vlookups.</text>
  </threadedComment>
  <threadedComment ref="F2" dT="2024-10-18T20:11:19.20" personId="{BA2B3981-C5E5-49DF-AFD9-5E37C6648BF5}" id="{BBD88731-030E-49E3-B473-3F355D356520}" parentId="{07CC0F76-3EA5-4563-BDDA-E548F26E5973}">
    <text>I ask bc some #s don’t line up w/ the source file. So I cant track. I see small bus public in the source file is 14,902 YTD  but here it's 2,661 which is the YTD of the SF retrofit program per the source file?</text>
  </threadedComment>
  <threadedComment ref="F57" dT="2024-08-08T18:54:50.64" personId="{76AED2B2-0F2B-4635-8E63-D67EEBF6D7A1}" id="{82790DBB-CB26-4C58-99CD-99E8E375BDF5}">
    <text>@Rodriguez, Ilse:(ComEd) Confirming this is the correct calculation for "Home Energy Savings – Income Eligible Retrofits" on page 5 of Quarterly report?</text>
    <mentions>
      <mention mentionpersonId="{208DF1D0-159A-423C-BCFF-8BEF74DFFFA9}" mentionId="{70F3CDE1-9DDE-46C5-A51E-6005BE2ED833}" startIndex="0" length="24"/>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C17" dT="2024-04-22T15:57:47.98" personId="{76AED2B2-0F2B-4635-8E63-D67EEBF6D7A1}" id="{A573B2F7-436B-4514-A0EB-1ABFCD77EDDC}">
    <text>Jordan Losiak - Market Transformation Programs in 2024 LE no more</text>
  </threadedComment>
  <threadedComment ref="C24" dT="2024-04-22T16:35:20.29" personId="{76AED2B2-0F2B-4635-8E63-D67EEBF6D7A1}" id="{B85B9F4C-F78C-47A4-AC23-1AF9A4DD8B1D}">
    <text>Formula: LE Total Rider EEPP - C27</text>
  </threadedComment>
  <threadedComment ref="C27" dT="2024-10-18T20:17:08.28" personId="{BA2B3981-C5E5-49DF-AFD9-5E37C6648BF5}" id="{0DC79DF4-461F-49FC-B3BD-20A568BF98F4}">
    <text>Not sure what's missing but we're not lining up w/ 266,240,011</text>
  </threadedComment>
  <threadedComment ref="C27" dT="2024-10-21T13:48:16.58" personId="{76AED2B2-0F2B-4635-8E63-D67EEBF6D7A1}" id="{F3D6F7AC-F6EF-4DA7-8784-78BC3B71C111}" parentId="{0DC79DF4-461F-49FC-B3BD-20A568BF98F4}">
    <text>Portfolio Administrative Costs wasn't updated. Now matches 266,240,011</text>
  </threadedComment>
  <threadedComment ref="D32" dT="2024-04-19T19:14:25.88" personId="{76AED2B2-0F2B-4635-8E63-D67EEBF6D7A1}" id="{52694BCF-FDBC-400F-AC94-D047169789E7}">
    <text>Copied from LE xlsx (Total EE Regulatory GL)</text>
  </threadedComment>
</ThreadedComments>
</file>

<file path=xl/threadedComments/threadedComment5.xml><?xml version="1.0" encoding="utf-8"?>
<ThreadedComments xmlns="http://schemas.microsoft.com/office/spreadsheetml/2018/threadedcomments" xmlns:x="http://schemas.openxmlformats.org/spreadsheetml/2006/main">
  <threadedComment ref="D31" dT="2024-04-22T17:05:58.70" personId="{76AED2B2-0F2B-4635-8E63-D67EEBF6D7A1}" id="{2A5F32AD-F776-497D-B5B6-CA80921EB977}">
    <text>from SAG Annual EE Report (Evaluation Report)</text>
  </threadedComment>
  <threadedComment ref="D32" dT="2024-07-22T20:48:40.84" personId="{76AED2B2-0F2B-4635-8E63-D67EEBF6D7A1}" id="{0670CBFC-E885-488F-A239-620DD833B309}">
    <text>Updated using final evaluation report (2_10 tab)</text>
  </threadedComment>
  <threadedComment ref="E33" dT="2024-04-16T19:54:38.32" personId="{76AED2B2-0F2B-4635-8E63-D67EEBF6D7A1}" id="{B9C81819-60FD-4CA0-BC6A-B8A60B880484}">
    <text>LRP</text>
  </threadedComment>
  <threadedComment ref="E33" dT="2024-04-19T13:43:03.11" personId="{76AED2B2-0F2B-4635-8E63-D67EEBF6D7A1}" id="{0F4DBBC6-46CD-4FBA-968D-49DB9263065F}" parentId="{B9C81819-60FD-4CA0-BC6A-B8A60B880484}">
    <text>Updated 4/19</text>
  </threadedComment>
  <threadedComment ref="E33" dT="2024-10-21T14:22:44.15" personId="{76AED2B2-0F2B-4635-8E63-D67EEBF6D7A1}" id="{78154D76-0E89-45E4-A914-D57278CAB44A}" parentId="{B9C81819-60FD-4CA0-BC6A-B8A60B880484}">
    <text>Updated 10/21 to account for Therms cap change</text>
  </threadedComment>
  <threadedComment ref="D34" dT="2024-07-22T20:52:01.92" personId="{76AED2B2-0F2B-4635-8E63-D67EEBF6D7A1}" id="{C478B1EE-C361-4687-BD84-219B98121CF7}">
    <text>planning team to review later</text>
  </threadedComment>
</ThreadedComments>
</file>

<file path=xl/threadedComments/threadedComment6.xml><?xml version="1.0" encoding="utf-8"?>
<ThreadedComments xmlns="http://schemas.microsoft.com/office/spreadsheetml/2018/threadedcomments" xmlns:x="http://schemas.openxmlformats.org/spreadsheetml/2006/main">
  <threadedComment ref="S18" dT="2024-04-19T19:32:44.31" personId="{76AED2B2-0F2B-4635-8E63-D67EEBF6D7A1}" id="{3CD22092-C215-4954-BC2D-A9EA71813340}">
    <text xml:space="preserve">Comes from Project Counts C56 Sheet in Analysis Workbook </text>
  </threadedComment>
</ThreadedComments>
</file>

<file path=xl/threadedComments/threadedComment7.xml><?xml version="1.0" encoding="utf-8"?>
<ThreadedComments xmlns="http://schemas.microsoft.com/office/spreadsheetml/2018/threadedcomments" xmlns:x="http://schemas.openxmlformats.org/spreadsheetml/2006/main">
  <threadedComment ref="C33" dT="2024-07-22T21:02:38.62" personId="{76AED2B2-0F2B-4635-8E63-D67EEBF6D7A1}" id="{2A3F64E0-845C-424B-9470-D98EF71AB174}">
    <text>Updated to final recon (5-20-24 date)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microsoft.com/office/2017/10/relationships/threadedComment" Target="../threadedComments/threadedComment5.xm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F4D62-78C8-4529-BA22-FDA5CB84AA75}">
  <sheetPr>
    <tabColor theme="0"/>
    <pageSetUpPr fitToPage="1"/>
  </sheetPr>
  <dimension ref="A1:AA137"/>
  <sheetViews>
    <sheetView tabSelected="1" topLeftCell="A17" zoomScaleNormal="100" zoomScaleSheetLayoutView="110" workbookViewId="0">
      <pane xSplit="3" ySplit="4" topLeftCell="D98" activePane="bottomRight" state="frozen"/>
      <selection pane="topRight" activeCell="C17" sqref="C17"/>
      <selection pane="bottomLeft" activeCell="A21" sqref="A21"/>
      <selection pane="bottomRight" activeCell="H18" sqref="H18"/>
    </sheetView>
  </sheetViews>
  <sheetFormatPr defaultColWidth="9.140625" defaultRowHeight="22.5" customHeight="1" x14ac:dyDescent="0.25"/>
  <cols>
    <col min="1" max="1" width="15.5703125" style="389" hidden="1" customWidth="1"/>
    <col min="2" max="2" width="16.28515625" style="389" hidden="1" customWidth="1"/>
    <col min="3" max="3" width="43" customWidth="1"/>
    <col min="4" max="4" width="12.85546875" customWidth="1"/>
    <col min="5" max="6" width="11.85546875" customWidth="1"/>
    <col min="7" max="7" width="14.7109375" customWidth="1"/>
    <col min="8" max="8" width="17" style="3" customWidth="1"/>
    <col min="9" max="9" width="14.5703125" style="3" customWidth="1"/>
    <col min="10" max="13" width="15.5703125" customWidth="1"/>
    <col min="14" max="14" width="14.140625" customWidth="1"/>
    <col min="15" max="15" width="3.42578125" style="247" bestFit="1" customWidth="1"/>
    <col min="16" max="16" width="1.85546875" bestFit="1" customWidth="1"/>
    <col min="17" max="18" width="14" customWidth="1"/>
    <col min="19" max="19" width="18.140625" customWidth="1"/>
    <col min="20" max="20" width="17.5703125" customWidth="1"/>
    <col min="21" max="21" width="10.5703125" bestFit="1" customWidth="1"/>
    <col min="22" max="22" width="17" bestFit="1" customWidth="1"/>
    <col min="23" max="23" width="13.140625" bestFit="1" customWidth="1"/>
  </cols>
  <sheetData>
    <row r="1" spans="1:27" ht="22.5" customHeight="1" x14ac:dyDescent="0.25">
      <c r="B1" s="390"/>
      <c r="C1" s="73" t="s">
        <v>0</v>
      </c>
      <c r="D1" s="73"/>
      <c r="E1" s="73"/>
      <c r="F1" s="73"/>
      <c r="G1" s="66"/>
      <c r="H1" s="105"/>
      <c r="I1" s="105"/>
      <c r="J1" s="66"/>
      <c r="K1" s="66"/>
      <c r="L1" s="66"/>
      <c r="M1" s="66"/>
      <c r="N1" s="66"/>
      <c r="O1" s="244"/>
      <c r="P1" s="66"/>
      <c r="Q1" s="66"/>
      <c r="R1" s="66"/>
      <c r="S1" s="66"/>
      <c r="T1" s="66"/>
      <c r="U1" s="66"/>
      <c r="V1" s="66"/>
      <c r="W1" s="66"/>
      <c r="X1" s="66"/>
      <c r="Y1" s="66"/>
      <c r="Z1" s="66"/>
      <c r="AA1" s="66"/>
    </row>
    <row r="2" spans="1:27" ht="22.5" customHeight="1" x14ac:dyDescent="0.25">
      <c r="B2" s="390"/>
      <c r="C2" s="73" t="s">
        <v>1</v>
      </c>
      <c r="D2" s="73"/>
      <c r="E2" s="73"/>
      <c r="F2" s="73"/>
      <c r="G2" s="66"/>
      <c r="H2" s="105"/>
      <c r="I2" s="105"/>
      <c r="J2" s="66"/>
      <c r="K2" s="66"/>
      <c r="L2" s="66"/>
      <c r="M2" s="66"/>
      <c r="N2" s="66"/>
      <c r="O2" s="244"/>
      <c r="P2" s="66"/>
      <c r="Q2" s="66"/>
      <c r="R2" s="66"/>
      <c r="S2" s="66"/>
      <c r="T2" s="66"/>
      <c r="U2" s="66"/>
      <c r="V2" s="66"/>
      <c r="W2" s="66"/>
      <c r="X2" s="66"/>
      <c r="Y2" s="66"/>
      <c r="Z2" s="66"/>
      <c r="AA2" s="66"/>
    </row>
    <row r="3" spans="1:27" ht="22.5" customHeight="1" x14ac:dyDescent="0.25">
      <c r="B3" s="390"/>
      <c r="C3" s="73" t="s">
        <v>2</v>
      </c>
      <c r="D3" s="73"/>
      <c r="E3" s="73"/>
      <c r="F3" s="73"/>
      <c r="G3" s="66"/>
      <c r="H3" s="105"/>
      <c r="I3" s="105"/>
      <c r="J3" s="66"/>
      <c r="K3" s="66"/>
      <c r="L3" s="66"/>
      <c r="M3" s="66"/>
      <c r="N3" s="66"/>
      <c r="O3" s="244"/>
      <c r="P3" s="66"/>
      <c r="Q3" s="66"/>
      <c r="R3" s="66"/>
      <c r="S3" s="66"/>
      <c r="T3" s="66"/>
      <c r="U3" s="66"/>
      <c r="V3" s="66"/>
      <c r="W3" s="66"/>
      <c r="X3" s="66"/>
      <c r="Y3" s="66"/>
      <c r="Z3" s="66"/>
      <c r="AA3" s="66"/>
    </row>
    <row r="4" spans="1:27" ht="22.5" customHeight="1" x14ac:dyDescent="0.25">
      <c r="B4" s="390"/>
      <c r="C4" s="73"/>
      <c r="D4" s="73"/>
      <c r="E4" s="73"/>
      <c r="F4" s="73"/>
      <c r="G4" s="66"/>
      <c r="H4" s="105"/>
      <c r="I4" s="105"/>
      <c r="J4" s="66"/>
      <c r="K4" s="66"/>
      <c r="L4" s="66"/>
      <c r="M4" s="66"/>
      <c r="N4" s="66"/>
      <c r="O4" s="244"/>
      <c r="P4" s="66"/>
      <c r="Q4" s="66"/>
      <c r="R4" s="66"/>
      <c r="S4" s="66"/>
      <c r="T4" s="66"/>
      <c r="U4" s="66"/>
      <c r="V4" s="66"/>
      <c r="W4" s="66"/>
      <c r="X4" s="66"/>
      <c r="Y4" s="66"/>
      <c r="Z4" s="66"/>
      <c r="AA4" s="66"/>
    </row>
    <row r="5" spans="1:27" ht="22.5" customHeight="1" x14ac:dyDescent="0.25">
      <c r="B5" s="390"/>
      <c r="C5" s="503" t="s">
        <v>3</v>
      </c>
      <c r="D5" s="504"/>
      <c r="E5" s="504"/>
      <c r="F5" s="504"/>
      <c r="G5" s="504"/>
      <c r="H5" s="504"/>
      <c r="I5" s="504"/>
      <c r="J5" s="504"/>
      <c r="K5" s="504"/>
      <c r="L5" s="504"/>
      <c r="M5" s="504"/>
      <c r="N5" s="505"/>
      <c r="O5" s="244"/>
      <c r="P5" s="66"/>
      <c r="Q5" s="66"/>
      <c r="R5" s="66"/>
      <c r="S5" s="66"/>
      <c r="T5" s="66"/>
      <c r="U5" s="66"/>
      <c r="V5" s="66"/>
      <c r="W5" s="66"/>
      <c r="X5" s="66"/>
      <c r="Y5" s="66"/>
      <c r="Z5" s="66"/>
      <c r="AA5" s="66"/>
    </row>
    <row r="6" spans="1:27" ht="45" customHeight="1" x14ac:dyDescent="0.25">
      <c r="B6" s="390"/>
      <c r="C6" s="506"/>
      <c r="D6" s="507"/>
      <c r="E6" s="507"/>
      <c r="F6" s="507"/>
      <c r="G6" s="507"/>
      <c r="H6" s="507"/>
      <c r="I6" s="507"/>
      <c r="J6" s="507"/>
      <c r="K6" s="507"/>
      <c r="L6" s="507"/>
      <c r="M6" s="507"/>
      <c r="N6" s="508"/>
      <c r="O6" s="244"/>
      <c r="P6" s="66"/>
      <c r="Q6" s="66"/>
      <c r="R6" s="66"/>
      <c r="S6" s="66"/>
      <c r="T6" s="66"/>
      <c r="U6" s="66"/>
      <c r="V6" s="66"/>
      <c r="W6" s="66"/>
      <c r="X6" s="66"/>
      <c r="Y6" s="66"/>
      <c r="Z6" s="66"/>
      <c r="AA6" s="66"/>
    </row>
    <row r="7" spans="1:27" ht="22.5" customHeight="1" x14ac:dyDescent="0.25">
      <c r="B7" s="390"/>
      <c r="C7" s="146"/>
      <c r="D7" s="73"/>
      <c r="E7" s="73"/>
      <c r="F7" s="73"/>
      <c r="G7" s="66"/>
      <c r="H7" s="105"/>
      <c r="I7" s="105"/>
      <c r="J7" s="66"/>
      <c r="K7" s="66"/>
      <c r="L7" s="66"/>
      <c r="M7" s="66"/>
      <c r="N7" s="66"/>
      <c r="O7" s="244"/>
      <c r="P7" s="66"/>
      <c r="Q7" s="66"/>
      <c r="R7" s="66"/>
      <c r="S7" s="66"/>
      <c r="T7" s="66"/>
      <c r="U7" s="66"/>
      <c r="V7" s="66"/>
      <c r="W7" s="66"/>
      <c r="X7" s="66"/>
      <c r="Y7" s="66"/>
      <c r="Z7" s="66"/>
      <c r="AA7" s="66"/>
    </row>
    <row r="8" spans="1:27" ht="7.35" customHeight="1" x14ac:dyDescent="0.25">
      <c r="B8" s="390"/>
      <c r="C8" s="509" t="s">
        <v>4</v>
      </c>
      <c r="D8" s="509"/>
      <c r="E8" s="509"/>
      <c r="F8" s="509"/>
      <c r="G8" s="509"/>
      <c r="H8" s="509"/>
      <c r="I8" s="509"/>
      <c r="J8" s="509"/>
      <c r="K8" s="509"/>
      <c r="L8" s="509"/>
      <c r="M8" s="509"/>
      <c r="N8" s="509"/>
      <c r="O8" s="244"/>
      <c r="P8" s="66"/>
      <c r="Q8" s="66"/>
      <c r="R8" s="66"/>
      <c r="S8" s="66"/>
      <c r="T8" s="66"/>
      <c r="U8" s="66"/>
      <c r="V8" s="66"/>
      <c r="W8" s="66"/>
      <c r="X8" s="66"/>
      <c r="Y8" s="66"/>
      <c r="Z8" s="66"/>
      <c r="AA8" s="66"/>
    </row>
    <row r="9" spans="1:27" ht="15.75" customHeight="1" x14ac:dyDescent="0.25">
      <c r="B9" s="390"/>
      <c r="C9" s="509"/>
      <c r="D9" s="509"/>
      <c r="E9" s="509"/>
      <c r="F9" s="509"/>
      <c r="G9" s="509"/>
      <c r="H9" s="509"/>
      <c r="I9" s="509"/>
      <c r="J9" s="509"/>
      <c r="K9" s="509"/>
      <c r="L9" s="509"/>
      <c r="M9" s="509"/>
      <c r="N9" s="509"/>
      <c r="O9" s="244"/>
      <c r="P9" s="66"/>
      <c r="Q9" s="66"/>
      <c r="R9" s="66"/>
      <c r="S9" s="66"/>
      <c r="T9" s="66"/>
      <c r="U9" s="66"/>
      <c r="V9" s="66"/>
      <c r="W9" s="66"/>
      <c r="X9" s="66"/>
      <c r="Y9" s="66"/>
      <c r="Z9" s="66"/>
      <c r="AA9" s="66"/>
    </row>
    <row r="10" spans="1:27" ht="10.5" customHeight="1" x14ac:dyDescent="0.25">
      <c r="B10" s="390"/>
      <c r="C10" s="509"/>
      <c r="D10" s="509"/>
      <c r="E10" s="509"/>
      <c r="F10" s="509"/>
      <c r="G10" s="509"/>
      <c r="H10" s="509"/>
      <c r="I10" s="509"/>
      <c r="J10" s="509"/>
      <c r="K10" s="509"/>
      <c r="L10" s="509"/>
      <c r="M10" s="509"/>
      <c r="N10" s="509"/>
      <c r="O10" s="244"/>
      <c r="P10" s="66"/>
      <c r="Q10" s="66"/>
      <c r="R10" s="66"/>
      <c r="S10" s="66"/>
      <c r="T10" s="66"/>
      <c r="U10" s="66"/>
      <c r="V10" s="66"/>
      <c r="W10" s="66"/>
      <c r="X10" s="66"/>
      <c r="Y10" s="66"/>
      <c r="Z10" s="66"/>
      <c r="AA10" s="66"/>
    </row>
    <row r="11" spans="1:27" ht="22.5" customHeight="1" x14ac:dyDescent="0.25">
      <c r="B11" s="390"/>
      <c r="C11" s="509"/>
      <c r="D11" s="509"/>
      <c r="E11" s="509"/>
      <c r="F11" s="509"/>
      <c r="G11" s="509"/>
      <c r="H11" s="509"/>
      <c r="I11" s="509"/>
      <c r="J11" s="509"/>
      <c r="K11" s="509"/>
      <c r="L11" s="509"/>
      <c r="M11" s="509"/>
      <c r="N11" s="509"/>
      <c r="O11" s="244"/>
      <c r="P11" s="66"/>
      <c r="Q11" s="66"/>
      <c r="R11" s="66"/>
      <c r="S11" s="66"/>
      <c r="T11" s="66"/>
      <c r="U11" s="66"/>
      <c r="V11" s="66"/>
      <c r="W11" s="66"/>
      <c r="X11" s="66"/>
      <c r="Y11" s="66"/>
      <c r="Z11" s="66"/>
      <c r="AA11" s="66"/>
    </row>
    <row r="12" spans="1:27" ht="22.5" customHeight="1" x14ac:dyDescent="0.25">
      <c r="B12" s="390"/>
      <c r="C12" s="509"/>
      <c r="D12" s="509"/>
      <c r="E12" s="509"/>
      <c r="F12" s="509"/>
      <c r="G12" s="509"/>
      <c r="H12" s="509"/>
      <c r="I12" s="509"/>
      <c r="J12" s="509"/>
      <c r="K12" s="509"/>
      <c r="L12" s="509"/>
      <c r="M12" s="509"/>
      <c r="N12" s="509"/>
      <c r="O12" s="244"/>
      <c r="P12" s="66"/>
      <c r="Q12" s="66"/>
      <c r="R12" s="66"/>
      <c r="S12" s="66"/>
      <c r="T12" s="66"/>
      <c r="U12" s="66"/>
      <c r="V12" s="66"/>
      <c r="W12" s="66"/>
      <c r="X12" s="66"/>
      <c r="Y12" s="66"/>
      <c r="Z12" s="66"/>
      <c r="AA12" s="66"/>
    </row>
    <row r="13" spans="1:27" ht="22.5" customHeight="1" x14ac:dyDescent="0.25">
      <c r="B13" s="390"/>
      <c r="C13" s="509"/>
      <c r="D13" s="509"/>
      <c r="E13" s="509"/>
      <c r="F13" s="509"/>
      <c r="G13" s="509"/>
      <c r="H13" s="509"/>
      <c r="I13" s="509"/>
      <c r="J13" s="509"/>
      <c r="K13" s="509"/>
      <c r="L13" s="509"/>
      <c r="M13" s="509"/>
      <c r="N13" s="509"/>
      <c r="O13" s="244"/>
      <c r="P13" s="66"/>
      <c r="Q13" s="66"/>
      <c r="R13" s="66"/>
      <c r="S13" s="66"/>
      <c r="T13" s="66"/>
      <c r="U13" s="66"/>
      <c r="V13" s="66"/>
      <c r="W13" s="66"/>
      <c r="X13" s="66"/>
      <c r="Y13" s="66"/>
      <c r="Z13" s="66"/>
      <c r="AA13" s="66"/>
    </row>
    <row r="14" spans="1:27" ht="27.75" customHeight="1" x14ac:dyDescent="0.25">
      <c r="B14" s="390"/>
      <c r="C14" s="509"/>
      <c r="D14" s="509"/>
      <c r="E14" s="509"/>
      <c r="F14" s="509"/>
      <c r="G14" s="509"/>
      <c r="H14" s="509"/>
      <c r="I14" s="509"/>
      <c r="J14" s="509"/>
      <c r="K14" s="509"/>
      <c r="L14" s="509"/>
      <c r="M14" s="509"/>
      <c r="N14" s="509"/>
      <c r="O14" s="244"/>
      <c r="P14" s="66"/>
      <c r="Q14" s="66"/>
      <c r="R14" s="66"/>
      <c r="S14" s="66"/>
      <c r="T14" s="66"/>
      <c r="U14" s="66"/>
      <c r="V14" s="66"/>
      <c r="W14" s="66"/>
      <c r="X14" s="66"/>
      <c r="Y14" s="66"/>
      <c r="Z14" s="66"/>
      <c r="AA14" s="66"/>
    </row>
    <row r="15" spans="1:27" ht="17.850000000000001" customHeight="1" x14ac:dyDescent="0.25">
      <c r="B15" s="390"/>
      <c r="C15" s="509"/>
      <c r="D15" s="509"/>
      <c r="E15" s="509"/>
      <c r="F15" s="509"/>
      <c r="G15" s="509"/>
      <c r="H15" s="509"/>
      <c r="I15" s="509"/>
      <c r="J15" s="509"/>
      <c r="K15" s="509"/>
      <c r="L15" s="509"/>
      <c r="M15" s="509"/>
      <c r="N15" s="509"/>
      <c r="O15" s="244"/>
      <c r="P15" s="66"/>
      <c r="Q15" s="66"/>
      <c r="R15" s="66"/>
      <c r="S15" s="66"/>
      <c r="T15" s="66"/>
      <c r="U15" s="66"/>
      <c r="V15" s="66"/>
      <c r="W15" s="66"/>
      <c r="X15" s="66"/>
      <c r="Y15" s="66"/>
      <c r="Z15" s="66"/>
      <c r="AA15" s="66"/>
    </row>
    <row r="16" spans="1:27" ht="7.5" customHeight="1" x14ac:dyDescent="0.25">
      <c r="A16" s="390"/>
      <c r="B16" s="390"/>
      <c r="C16" s="509"/>
      <c r="D16" s="509"/>
      <c r="E16" s="509"/>
      <c r="F16" s="509"/>
      <c r="G16" s="509"/>
      <c r="H16" s="509"/>
      <c r="I16" s="509"/>
      <c r="J16" s="509"/>
      <c r="K16" s="509"/>
      <c r="L16" s="509"/>
      <c r="M16" s="509"/>
      <c r="N16" s="509"/>
      <c r="O16" s="244"/>
      <c r="P16" s="159"/>
      <c r="Q16" s="66"/>
      <c r="R16" s="66"/>
      <c r="S16" s="66"/>
      <c r="T16" s="66"/>
      <c r="U16" s="66"/>
      <c r="V16" s="66"/>
      <c r="W16" s="66"/>
      <c r="X16" s="66"/>
      <c r="Y16" s="66"/>
      <c r="Z16" s="66"/>
      <c r="AA16" s="66"/>
    </row>
    <row r="17" spans="1:27" ht="22.5" customHeight="1" x14ac:dyDescent="0.25">
      <c r="A17" s="390"/>
      <c r="B17" s="390"/>
      <c r="C17" s="97"/>
      <c r="D17" s="97"/>
      <c r="E17" s="97"/>
      <c r="F17" s="97"/>
      <c r="G17" s="97"/>
      <c r="H17" s="97"/>
      <c r="I17" s="303"/>
      <c r="J17" s="97"/>
      <c r="K17" s="97"/>
      <c r="L17" s="97"/>
      <c r="M17" s="97"/>
      <c r="N17" s="97"/>
      <c r="O17" s="244"/>
      <c r="P17" s="66"/>
      <c r="Q17" s="66"/>
      <c r="R17" s="66"/>
      <c r="S17" s="66"/>
      <c r="T17" s="66"/>
      <c r="U17" s="66"/>
      <c r="V17" s="66"/>
      <c r="W17" s="66"/>
      <c r="X17" s="66"/>
      <c r="Y17" s="66"/>
      <c r="Z17" s="66"/>
      <c r="AA17" s="66"/>
    </row>
    <row r="18" spans="1:27" ht="22.5" customHeight="1" x14ac:dyDescent="0.25">
      <c r="A18" s="390"/>
      <c r="B18" s="390"/>
      <c r="C18" s="230" t="s">
        <v>5</v>
      </c>
      <c r="D18" s="97"/>
      <c r="E18" s="228"/>
      <c r="F18" s="228"/>
      <c r="G18" s="228"/>
      <c r="H18" s="228"/>
      <c r="I18" s="304"/>
      <c r="J18" s="228"/>
      <c r="K18" s="228"/>
      <c r="L18" s="228"/>
      <c r="M18" s="228"/>
      <c r="N18" s="228"/>
      <c r="O18" s="244"/>
      <c r="P18" s="66"/>
      <c r="Q18" s="66"/>
      <c r="R18" s="66"/>
      <c r="S18" s="66"/>
      <c r="T18" s="66"/>
      <c r="U18" s="66"/>
      <c r="V18" s="66"/>
      <c r="W18" s="66"/>
      <c r="X18" s="66"/>
      <c r="Y18" s="66"/>
      <c r="Z18" s="66"/>
      <c r="AA18" s="66"/>
    </row>
    <row r="19" spans="1:27" ht="41.1" customHeight="1" x14ac:dyDescent="0.25">
      <c r="A19" s="390"/>
      <c r="B19" s="390"/>
      <c r="C19" s="231" t="s">
        <v>640</v>
      </c>
      <c r="D19" s="97"/>
      <c r="E19" s="495" t="s">
        <v>641</v>
      </c>
      <c r="F19" s="496"/>
      <c r="G19" s="495" t="s">
        <v>6</v>
      </c>
      <c r="H19" s="496"/>
      <c r="I19" s="305" t="s">
        <v>7</v>
      </c>
      <c r="J19" s="496"/>
      <c r="K19" s="496"/>
      <c r="L19" s="495" t="s">
        <v>8</v>
      </c>
      <c r="M19" s="495" t="s">
        <v>6</v>
      </c>
      <c r="N19" s="97"/>
      <c r="O19" s="244"/>
      <c r="P19" s="66"/>
      <c r="Q19" s="160"/>
      <c r="R19" s="160"/>
      <c r="S19" s="66"/>
      <c r="T19" s="66"/>
      <c r="U19" s="66"/>
      <c r="V19" s="66"/>
      <c r="W19" s="66"/>
      <c r="X19" s="66"/>
      <c r="Y19" s="66"/>
      <c r="Z19" s="66"/>
      <c r="AA19" s="66"/>
    </row>
    <row r="20" spans="1:27" s="20" customFormat="1" ht="81" customHeight="1" x14ac:dyDescent="0.25">
      <c r="A20" s="372" t="s">
        <v>9</v>
      </c>
      <c r="B20" s="372" t="s">
        <v>10</v>
      </c>
      <c r="C20" s="19" t="s">
        <v>11</v>
      </c>
      <c r="D20" s="19" t="s">
        <v>12</v>
      </c>
      <c r="E20" s="19" t="s">
        <v>13</v>
      </c>
      <c r="F20" s="19" t="s">
        <v>14</v>
      </c>
      <c r="G20" s="19" t="s">
        <v>15</v>
      </c>
      <c r="H20" s="54" t="s">
        <v>16</v>
      </c>
      <c r="I20" s="19" t="s">
        <v>17</v>
      </c>
      <c r="J20" s="19" t="s">
        <v>18</v>
      </c>
      <c r="K20" s="19" t="s">
        <v>19</v>
      </c>
      <c r="L20" s="19" t="s">
        <v>20</v>
      </c>
      <c r="M20" s="19" t="s">
        <v>21</v>
      </c>
      <c r="N20" s="19" t="s">
        <v>22</v>
      </c>
      <c r="O20" s="245"/>
      <c r="P20" s="161"/>
      <c r="Q20" s="161"/>
      <c r="R20" s="161"/>
      <c r="S20" s="147"/>
      <c r="T20" s="147"/>
      <c r="U20" s="147"/>
      <c r="V20" s="147"/>
      <c r="W20" s="147"/>
      <c r="X20" s="147"/>
      <c r="Y20" s="147"/>
      <c r="Z20" s="147"/>
      <c r="AA20" s="147"/>
    </row>
    <row r="21" spans="1:27" ht="20.100000000000001" customHeight="1" x14ac:dyDescent="0.25">
      <c r="A21" s="376"/>
      <c r="B21" s="376"/>
      <c r="C21" s="16" t="s">
        <v>23</v>
      </c>
      <c r="D21" s="64"/>
      <c r="E21" s="64"/>
      <c r="F21" s="64"/>
      <c r="G21" s="64"/>
      <c r="H21" s="199"/>
      <c r="I21" s="212"/>
      <c r="J21" s="17"/>
      <c r="K21" s="17"/>
      <c r="L21" s="17"/>
      <c r="M21" s="17"/>
      <c r="N21" s="18"/>
      <c r="O21" s="244"/>
      <c r="P21" s="233"/>
      <c r="Q21" s="193"/>
      <c r="R21" s="193"/>
      <c r="S21" s="66"/>
      <c r="T21" s="66"/>
      <c r="U21" s="66"/>
      <c r="V21" s="66"/>
      <c r="W21" s="66"/>
      <c r="X21" s="66"/>
      <c r="Y21" s="66"/>
      <c r="Z21" s="66"/>
      <c r="AA21" s="66"/>
    </row>
    <row r="22" spans="1:27" ht="15" customHeight="1" x14ac:dyDescent="0.25">
      <c r="A22" s="376"/>
      <c r="B22" s="376"/>
      <c r="C22" s="1" t="s">
        <v>24</v>
      </c>
      <c r="D22" s="200">
        <f t="shared" ref="D22:E24" si="0">D39+D57</f>
        <v>137202.66999999998</v>
      </c>
      <c r="E22" s="200">
        <f t="shared" si="0"/>
        <v>227183.28</v>
      </c>
      <c r="F22" s="200">
        <f>E22</f>
        <v>227183.28</v>
      </c>
      <c r="G22" s="201">
        <f>G39+G57</f>
        <v>205356.40999999997</v>
      </c>
      <c r="H22" s="86">
        <f t="shared" ref="H22:H69" si="1">IF(AND(ISNUMBER(G22)=TRUE,G22&lt;&gt;0),D22/G22,"N/A")</f>
        <v>0.66811973388120682</v>
      </c>
      <c r="I22" s="306">
        <f>I23+I24</f>
        <v>43888353.929999992</v>
      </c>
      <c r="J22" s="215">
        <f t="shared" ref="J22:M24" si="2">J39+J57</f>
        <v>28527430.054499999</v>
      </c>
      <c r="K22" s="215">
        <f t="shared" si="2"/>
        <v>15360923.875499997</v>
      </c>
      <c r="L22" s="215">
        <f t="shared" si="2"/>
        <v>73384744.001050159</v>
      </c>
      <c r="M22" s="215">
        <f t="shared" si="2"/>
        <v>70877350.526087612</v>
      </c>
      <c r="N22" s="87">
        <f t="shared" ref="N22:N36" si="3">IFERROR(I22/M22,"N/A")</f>
        <v>0.61921549838190038</v>
      </c>
      <c r="P22" s="162"/>
      <c r="Q22" s="66"/>
      <c r="R22" s="66"/>
      <c r="S22" s="66"/>
      <c r="T22" s="66"/>
      <c r="U22" s="66"/>
      <c r="V22" s="66"/>
      <c r="W22" s="66"/>
      <c r="X22" s="66"/>
      <c r="Y22" s="66"/>
      <c r="Z22" s="66"/>
      <c r="AA22" s="66"/>
    </row>
    <row r="23" spans="1:27" ht="15" customHeight="1" x14ac:dyDescent="0.25">
      <c r="A23" s="381"/>
      <c r="B23" s="381"/>
      <c r="C23" s="191" t="s">
        <v>25</v>
      </c>
      <c r="D23" s="200">
        <f t="shared" si="0"/>
        <v>131158.78999999998</v>
      </c>
      <c r="E23" s="200">
        <f t="shared" si="0"/>
        <v>210483.28</v>
      </c>
      <c r="F23" s="200">
        <f>E23</f>
        <v>210483.28</v>
      </c>
      <c r="G23" s="201">
        <f>G40+G58</f>
        <v>192119.52999999997</v>
      </c>
      <c r="H23" s="86">
        <f t="shared" si="1"/>
        <v>0.68269368554045495</v>
      </c>
      <c r="I23" s="306">
        <f>I40+I58</f>
        <v>39591980.379999995</v>
      </c>
      <c r="J23" s="215">
        <f t="shared" si="2"/>
        <v>25734787.247000001</v>
      </c>
      <c r="K23" s="215">
        <f t="shared" si="2"/>
        <v>13857193.132999998</v>
      </c>
      <c r="L23" s="215">
        <f t="shared" si="2"/>
        <v>63777220.001050159</v>
      </c>
      <c r="M23" s="215">
        <f t="shared" si="2"/>
        <v>62243468.74000001</v>
      </c>
      <c r="N23" s="87">
        <f t="shared" si="3"/>
        <v>0.63608248674863277</v>
      </c>
      <c r="O23" s="245"/>
      <c r="P23" s="163"/>
      <c r="Q23" s="66"/>
      <c r="R23" s="66"/>
      <c r="S23" s="66"/>
      <c r="T23" s="66"/>
      <c r="U23" s="66"/>
      <c r="V23" s="66"/>
      <c r="W23" s="66"/>
      <c r="X23" s="66"/>
      <c r="Y23" s="66"/>
      <c r="Z23" s="66"/>
      <c r="AA23" s="66"/>
    </row>
    <row r="24" spans="1:27" ht="15" customHeight="1" x14ac:dyDescent="0.25">
      <c r="A24" s="381"/>
      <c r="B24" s="381"/>
      <c r="C24" s="191" t="s">
        <v>26</v>
      </c>
      <c r="D24" s="200">
        <f t="shared" si="0"/>
        <v>6043.88</v>
      </c>
      <c r="E24" s="200">
        <f t="shared" si="0"/>
        <v>16700</v>
      </c>
      <c r="F24" s="200">
        <f t="shared" ref="F24:F31" si="4">E24</f>
        <v>16700</v>
      </c>
      <c r="G24" s="201">
        <f>G41+G59</f>
        <v>13236.88</v>
      </c>
      <c r="H24" s="86">
        <f t="shared" si="1"/>
        <v>0.45659400100325759</v>
      </c>
      <c r="I24" s="306">
        <f>I41+I59</f>
        <v>4296373.55</v>
      </c>
      <c r="J24" s="215">
        <f t="shared" si="2"/>
        <v>2792642.8075000001</v>
      </c>
      <c r="K24" s="215">
        <f t="shared" si="2"/>
        <v>1503730.7424999997</v>
      </c>
      <c r="L24" s="215">
        <f t="shared" si="2"/>
        <v>9607524</v>
      </c>
      <c r="M24" s="215">
        <f t="shared" si="2"/>
        <v>8633881.7860876136</v>
      </c>
      <c r="N24" s="87">
        <f t="shared" si="3"/>
        <v>0.497617833605627</v>
      </c>
      <c r="O24" s="245"/>
      <c r="P24" s="233"/>
      <c r="Q24" s="193"/>
      <c r="R24" s="193"/>
      <c r="S24" s="66"/>
      <c r="T24" s="66"/>
      <c r="U24" s="66"/>
      <c r="V24" s="66"/>
      <c r="W24" s="66"/>
      <c r="X24" s="66"/>
      <c r="Y24" s="66"/>
      <c r="Z24" s="66"/>
      <c r="AA24" s="66"/>
    </row>
    <row r="25" spans="1:27" ht="15" hidden="1" customHeight="1" x14ac:dyDescent="0.25">
      <c r="A25" s="376"/>
      <c r="B25" s="376"/>
      <c r="C25" s="191" t="s">
        <v>27</v>
      </c>
      <c r="D25" s="200" t="str">
        <f>D42</f>
        <v>N/A</v>
      </c>
      <c r="E25" s="200">
        <f>E42</f>
        <v>0</v>
      </c>
      <c r="F25" s="200">
        <f>E25</f>
        <v>0</v>
      </c>
      <c r="G25" s="201">
        <f>G42</f>
        <v>0</v>
      </c>
      <c r="H25" s="86" t="str">
        <f t="shared" si="1"/>
        <v>N/A</v>
      </c>
      <c r="I25" s="306" t="e">
        <f>I42</f>
        <v>#N/A</v>
      </c>
      <c r="J25" s="215">
        <f>J42</f>
        <v>0</v>
      </c>
      <c r="K25" s="215">
        <f>K42</f>
        <v>0</v>
      </c>
      <c r="L25" s="215" t="e">
        <f>L42</f>
        <v>#N/A</v>
      </c>
      <c r="M25" s="215">
        <f>M42</f>
        <v>0</v>
      </c>
      <c r="N25" s="87" t="str">
        <f t="shared" si="3"/>
        <v>N/A</v>
      </c>
      <c r="O25" s="245"/>
      <c r="P25" s="162"/>
      <c r="Q25" s="66"/>
      <c r="R25" s="66"/>
      <c r="S25" s="66"/>
      <c r="T25" s="66"/>
      <c r="U25" s="66"/>
      <c r="V25" s="66"/>
      <c r="W25" s="66"/>
      <c r="X25" s="66"/>
      <c r="Y25" s="66"/>
      <c r="Z25" s="66"/>
      <c r="AA25" s="66"/>
    </row>
    <row r="26" spans="1:27" ht="15" customHeight="1" x14ac:dyDescent="0.25">
      <c r="A26" s="381"/>
      <c r="B26" s="381"/>
      <c r="C26" s="1" t="s">
        <v>28</v>
      </c>
      <c r="D26" s="200">
        <f>D44+D60</f>
        <v>114756.86000000002</v>
      </c>
      <c r="E26" s="200">
        <f>E44+E60</f>
        <v>248979.42804199998</v>
      </c>
      <c r="F26" s="200">
        <f>E26</f>
        <v>248979.42804199998</v>
      </c>
      <c r="G26" s="201">
        <f>G44+G60</f>
        <v>214363.84</v>
      </c>
      <c r="H26" s="86">
        <f t="shared" si="1"/>
        <v>0.53533683666051146</v>
      </c>
      <c r="I26" s="306">
        <f>I44+I60</f>
        <v>37742450.340000004</v>
      </c>
      <c r="J26" s="215">
        <f t="shared" ref="J26:M27" si="5">J44+J60</f>
        <v>24532592.721000001</v>
      </c>
      <c r="K26" s="215">
        <f t="shared" si="5"/>
        <v>13209857.618999999</v>
      </c>
      <c r="L26" s="215">
        <f t="shared" si="5"/>
        <v>88430033.813720003</v>
      </c>
      <c r="M26" s="215">
        <f t="shared" si="5"/>
        <v>77726605.489999995</v>
      </c>
      <c r="N26" s="87">
        <f t="shared" si="3"/>
        <v>0.48557955287080951</v>
      </c>
      <c r="O26" s="245"/>
      <c r="P26" s="163"/>
      <c r="Q26" s="66"/>
      <c r="R26" s="66"/>
      <c r="S26" s="66"/>
      <c r="T26" s="66"/>
      <c r="U26" s="66"/>
      <c r="V26" s="66"/>
      <c r="W26" s="66"/>
      <c r="X26" s="66"/>
      <c r="Y26" s="66"/>
      <c r="Z26" s="66"/>
      <c r="AA26" s="66"/>
    </row>
    <row r="27" spans="1:27" ht="15" customHeight="1" x14ac:dyDescent="0.25">
      <c r="A27" s="381"/>
      <c r="B27" s="381"/>
      <c r="C27" s="1" t="s">
        <v>29</v>
      </c>
      <c r="D27" s="200">
        <f>D45+D61</f>
        <v>97320</v>
      </c>
      <c r="E27" s="200">
        <f>E45+E61</f>
        <v>109097</v>
      </c>
      <c r="F27" s="200">
        <f t="shared" si="4"/>
        <v>109097</v>
      </c>
      <c r="G27" s="201">
        <f>G45+G61</f>
        <v>139856</v>
      </c>
      <c r="H27" s="86">
        <f t="shared" si="1"/>
        <v>0.69585859741448342</v>
      </c>
      <c r="I27" s="306">
        <f>I45+I61</f>
        <v>14907708.960000001</v>
      </c>
      <c r="J27" s="215">
        <f t="shared" si="5"/>
        <v>9690010.824000001</v>
      </c>
      <c r="K27" s="215">
        <f t="shared" si="5"/>
        <v>5217698.135999999</v>
      </c>
      <c r="L27" s="215">
        <f t="shared" si="5"/>
        <v>15307867.246371273</v>
      </c>
      <c r="M27" s="215">
        <f t="shared" si="5"/>
        <v>23207729.193543062</v>
      </c>
      <c r="N27" s="87">
        <f t="shared" si="3"/>
        <v>0.64235965680552998</v>
      </c>
      <c r="O27" s="245"/>
      <c r="P27" s="233"/>
      <c r="Q27" s="193"/>
      <c r="R27" s="193"/>
      <c r="S27" s="66"/>
      <c r="T27" s="66"/>
      <c r="U27" s="66"/>
      <c r="V27" s="66"/>
      <c r="W27" s="66"/>
      <c r="X27" s="66"/>
      <c r="Y27" s="66"/>
      <c r="Z27" s="66"/>
      <c r="AA27" s="66"/>
    </row>
    <row r="28" spans="1:27" ht="15" customHeight="1" x14ac:dyDescent="0.25">
      <c r="A28" s="376"/>
      <c r="B28" s="376"/>
      <c r="C28" s="1" t="s">
        <v>30</v>
      </c>
      <c r="D28" s="200">
        <f>D50+D65</f>
        <v>4743.32</v>
      </c>
      <c r="E28" s="200">
        <f>E50+E65</f>
        <v>6037</v>
      </c>
      <c r="F28" s="200">
        <f t="shared" si="4"/>
        <v>6037</v>
      </c>
      <c r="G28" s="200">
        <f>G50+G65</f>
        <v>5784.32</v>
      </c>
      <c r="H28" s="86">
        <f t="shared" si="1"/>
        <v>0.8200307036955079</v>
      </c>
      <c r="I28" s="307">
        <f>I50+I65</f>
        <v>2686038.1300000004</v>
      </c>
      <c r="J28" s="215">
        <f>J50+J65</f>
        <v>1745924.7845000003</v>
      </c>
      <c r="K28" s="215">
        <f>K50+K65</f>
        <v>940113.34550000005</v>
      </c>
      <c r="L28" s="215">
        <f>L50+L65</f>
        <v>3231401.5246435269</v>
      </c>
      <c r="M28" s="215">
        <f>M50+M65</f>
        <v>3214129.3367994353</v>
      </c>
      <c r="N28" s="87">
        <f t="shared" si="3"/>
        <v>0.83569696441484909</v>
      </c>
      <c r="O28" s="245"/>
      <c r="P28" s="162"/>
      <c r="Q28" s="66"/>
      <c r="R28" s="66"/>
      <c r="S28" s="66"/>
      <c r="T28" s="66"/>
      <c r="U28" s="66"/>
      <c r="V28" s="66"/>
      <c r="W28" s="66"/>
      <c r="X28" s="66"/>
      <c r="Y28" s="66"/>
      <c r="Z28" s="66"/>
      <c r="AA28" s="66"/>
    </row>
    <row r="29" spans="1:27" ht="15" customHeight="1" x14ac:dyDescent="0.25">
      <c r="A29" s="376"/>
      <c r="B29" s="376"/>
      <c r="C29" s="1" t="s">
        <v>31</v>
      </c>
      <c r="D29" s="200">
        <f>D47</f>
        <v>30496.3</v>
      </c>
      <c r="E29" s="200">
        <f>E47</f>
        <v>52245</v>
      </c>
      <c r="F29" s="200">
        <f t="shared" si="4"/>
        <v>52245</v>
      </c>
      <c r="G29" s="200">
        <f>G47</f>
        <v>52278.3</v>
      </c>
      <c r="H29" s="86">
        <f>IF(AND(ISNUMBER(G29)=TRUE,G29&lt;&gt;0),D29/G29,"N/A")</f>
        <v>0.58334528858053913</v>
      </c>
      <c r="I29" s="307">
        <f>I47</f>
        <v>7555650.4900000002</v>
      </c>
      <c r="J29" s="215">
        <f>J47</f>
        <v>4911172.8185000001</v>
      </c>
      <c r="K29" s="215">
        <f>K47</f>
        <v>2644477.6715000002</v>
      </c>
      <c r="L29" s="215">
        <f>L47</f>
        <v>17115684</v>
      </c>
      <c r="M29" s="215">
        <f>M47</f>
        <v>14950360.800000001</v>
      </c>
      <c r="N29" s="87">
        <f t="shared" si="3"/>
        <v>0.50538248481601866</v>
      </c>
      <c r="O29" s="245"/>
      <c r="P29" s="163"/>
      <c r="Q29" s="66"/>
      <c r="R29" s="66"/>
      <c r="S29" s="66"/>
      <c r="T29" s="66"/>
      <c r="U29" s="66"/>
      <c r="V29" s="66"/>
      <c r="W29" s="66"/>
      <c r="X29" s="66"/>
      <c r="Y29" s="66"/>
      <c r="Z29" s="66"/>
      <c r="AA29" s="66"/>
    </row>
    <row r="30" spans="1:27" ht="15" customHeight="1" x14ac:dyDescent="0.25">
      <c r="A30" s="376"/>
      <c r="B30" s="376"/>
      <c r="C30" s="1" t="s">
        <v>32</v>
      </c>
      <c r="D30" s="200">
        <f>D48+D63</f>
        <v>22182.809999999998</v>
      </c>
      <c r="E30" s="200">
        <f>E48+E63</f>
        <v>49713</v>
      </c>
      <c r="F30" s="200">
        <f t="shared" si="4"/>
        <v>49713</v>
      </c>
      <c r="G30" s="200">
        <f>G48+G63</f>
        <v>43792.81</v>
      </c>
      <c r="H30" s="86">
        <f t="shared" si="1"/>
        <v>0.5065400005160664</v>
      </c>
      <c r="I30" s="307">
        <f>I48+I63</f>
        <v>7791892.2600000007</v>
      </c>
      <c r="J30" s="215">
        <f t="shared" ref="J30:M31" si="6">J48+J63</f>
        <v>5064729.9690000005</v>
      </c>
      <c r="K30" s="215">
        <f t="shared" si="6"/>
        <v>2727162.2910000002</v>
      </c>
      <c r="L30" s="215">
        <f t="shared" si="6"/>
        <v>17356099</v>
      </c>
      <c r="M30" s="215">
        <f t="shared" si="6"/>
        <v>14770915.480000002</v>
      </c>
      <c r="N30" s="87">
        <f t="shared" si="3"/>
        <v>0.52751586525224636</v>
      </c>
      <c r="O30" s="245"/>
      <c r="P30" s="233"/>
      <c r="Q30" s="193"/>
      <c r="R30" s="193"/>
      <c r="S30" s="66"/>
      <c r="T30" s="66"/>
      <c r="U30" s="66"/>
      <c r="V30" s="66"/>
      <c r="W30" s="66"/>
      <c r="X30" s="66"/>
      <c r="Y30" s="66"/>
      <c r="Z30" s="66"/>
      <c r="AA30" s="66"/>
    </row>
    <row r="31" spans="1:27" ht="15" customHeight="1" x14ac:dyDescent="0.25">
      <c r="A31" s="376"/>
      <c r="B31" s="376"/>
      <c r="C31" s="1" t="s">
        <v>33</v>
      </c>
      <c r="D31" s="200">
        <f>D49+D64</f>
        <v>8959.34</v>
      </c>
      <c r="E31" s="200">
        <f>E49+E64</f>
        <v>45412</v>
      </c>
      <c r="F31" s="200">
        <f t="shared" si="4"/>
        <v>45412</v>
      </c>
      <c r="G31" s="200">
        <f>G49+G64</f>
        <v>45413.34</v>
      </c>
      <c r="H31" s="86">
        <f t="shared" si="1"/>
        <v>0.19728432218374603</v>
      </c>
      <c r="I31" s="307">
        <f>I49+I64</f>
        <v>6062304.4199999999</v>
      </c>
      <c r="J31" s="215">
        <f t="shared" si="6"/>
        <v>0</v>
      </c>
      <c r="K31" s="215">
        <f t="shared" si="6"/>
        <v>6062304.4199999999</v>
      </c>
      <c r="L31" s="215">
        <f t="shared" si="6"/>
        <v>9827382.9209528416</v>
      </c>
      <c r="M31" s="215">
        <f t="shared" si="6"/>
        <v>9868030.3399999999</v>
      </c>
      <c r="N31" s="87">
        <f t="shared" si="3"/>
        <v>0.61433783755472315</v>
      </c>
      <c r="O31" s="245"/>
      <c r="P31" s="162"/>
      <c r="Q31" s="66"/>
      <c r="R31" s="66"/>
      <c r="S31" s="66"/>
      <c r="T31" s="66"/>
      <c r="U31" s="66"/>
      <c r="V31" s="66"/>
      <c r="W31" s="66"/>
      <c r="X31" s="66"/>
      <c r="Y31" s="66"/>
      <c r="Z31" s="66"/>
      <c r="AA31" s="66"/>
    </row>
    <row r="32" spans="1:27" ht="15" customHeight="1" x14ac:dyDescent="0.25">
      <c r="A32" s="376"/>
      <c r="B32" s="376"/>
      <c r="C32" s="1" t="s">
        <v>34</v>
      </c>
      <c r="D32" s="200" t="str">
        <f>IFERROR(D51+D66,"N/A")</f>
        <v>N/A</v>
      </c>
      <c r="E32" s="200" t="str">
        <f t="shared" ref="E32:M32" si="7">IFERROR(E51+E66,"N/A")</f>
        <v>N/A</v>
      </c>
      <c r="F32" s="200" t="str">
        <f t="shared" si="7"/>
        <v>N/A</v>
      </c>
      <c r="G32" s="200" t="str">
        <f t="shared" si="7"/>
        <v>N/A</v>
      </c>
      <c r="H32" s="200" t="str">
        <f t="shared" si="7"/>
        <v>N/A</v>
      </c>
      <c r="I32" s="307">
        <f>IFERROR(I51+I66,"N/A")</f>
        <v>631868.80000000005</v>
      </c>
      <c r="J32" s="215">
        <f t="shared" si="7"/>
        <v>410714.72000000009</v>
      </c>
      <c r="K32" s="215">
        <f t="shared" si="7"/>
        <v>221154.07999999996</v>
      </c>
      <c r="L32" s="215">
        <f t="shared" si="7"/>
        <v>1699999.5599999998</v>
      </c>
      <c r="M32" s="215">
        <f t="shared" si="7"/>
        <v>1193467.3700000001</v>
      </c>
      <c r="N32" s="87">
        <f t="shared" si="3"/>
        <v>0.52943952711501441</v>
      </c>
      <c r="O32" s="245"/>
      <c r="P32" s="163"/>
      <c r="Q32" s="66"/>
      <c r="R32" s="66"/>
      <c r="S32" s="66"/>
      <c r="T32" s="66"/>
      <c r="U32" s="66"/>
      <c r="V32" s="66"/>
      <c r="W32" s="66"/>
      <c r="X32" s="66"/>
      <c r="Y32" s="66"/>
      <c r="Z32" s="66"/>
      <c r="AA32" s="66"/>
    </row>
    <row r="33" spans="1:27" ht="15" customHeight="1" x14ac:dyDescent="0.25">
      <c r="A33" s="376"/>
      <c r="B33" s="376"/>
      <c r="C33" s="1" t="s">
        <v>35</v>
      </c>
      <c r="D33" s="200">
        <f>D52+D67</f>
        <v>867.17000000000007</v>
      </c>
      <c r="E33" s="200">
        <f>E52+E67</f>
        <v>1509</v>
      </c>
      <c r="F33" s="200">
        <f>E33</f>
        <v>1509</v>
      </c>
      <c r="G33" s="200">
        <f>G52+G67</f>
        <v>1374.4</v>
      </c>
      <c r="H33" s="86">
        <f t="shared" ref="H33:H36" si="8">IF(AND(ISNUMBER(G33)=TRUE,G33&lt;&gt;0),D33/G33,"N/A")</f>
        <v>0.63094441210710128</v>
      </c>
      <c r="I33" s="307">
        <f>I52+I67</f>
        <v>349491.70999999996</v>
      </c>
      <c r="J33" s="215">
        <f t="shared" ref="J33:M33" si="9">J52+J67</f>
        <v>0</v>
      </c>
      <c r="K33" s="215">
        <f t="shared" si="9"/>
        <v>349491.70999999996</v>
      </c>
      <c r="L33" s="215">
        <f t="shared" si="9"/>
        <v>481031.92</v>
      </c>
      <c r="M33" s="215">
        <f t="shared" si="9"/>
        <v>513364.18666666665</v>
      </c>
      <c r="N33" s="87">
        <f t="shared" si="3"/>
        <v>0.68078708853706815</v>
      </c>
      <c r="O33" s="245"/>
      <c r="P33" s="233"/>
      <c r="Q33" s="193"/>
      <c r="R33" s="193"/>
      <c r="S33" s="66"/>
      <c r="T33" s="66"/>
      <c r="U33" s="66"/>
      <c r="V33" s="66"/>
      <c r="W33" s="66"/>
      <c r="X33" s="66"/>
      <c r="Y33" s="66"/>
      <c r="Z33" s="66"/>
      <c r="AA33" s="66"/>
    </row>
    <row r="34" spans="1:27" ht="15" customHeight="1" x14ac:dyDescent="0.25">
      <c r="A34" s="376"/>
      <c r="B34" s="376"/>
      <c r="C34" s="1" t="s">
        <v>36</v>
      </c>
      <c r="D34" s="200" t="str">
        <f>D46</f>
        <v>N/A</v>
      </c>
      <c r="E34" s="200" t="str">
        <f t="shared" ref="E34:H34" si="10">E46</f>
        <v>N/A</v>
      </c>
      <c r="F34" s="200" t="str">
        <f t="shared" si="10"/>
        <v>N/A</v>
      </c>
      <c r="G34" s="200" t="str">
        <f t="shared" si="10"/>
        <v>N/A</v>
      </c>
      <c r="H34" s="86" t="str">
        <f t="shared" si="10"/>
        <v>N/A</v>
      </c>
      <c r="I34" s="307" t="str">
        <f>I46</f>
        <v>N/A</v>
      </c>
      <c r="J34" s="200" t="str">
        <f>J46</f>
        <v>N/A</v>
      </c>
      <c r="K34" s="200" t="str">
        <f t="shared" ref="K34:N34" si="11">K46</f>
        <v>N/A</v>
      </c>
      <c r="L34" s="200" t="str">
        <f t="shared" si="11"/>
        <v>N/A</v>
      </c>
      <c r="M34" s="200" t="str">
        <f t="shared" si="11"/>
        <v>N/A</v>
      </c>
      <c r="N34" s="200" t="str">
        <f t="shared" si="11"/>
        <v>N/A</v>
      </c>
      <c r="O34" s="245"/>
      <c r="P34" s="162"/>
      <c r="Q34" s="66"/>
      <c r="R34" s="66"/>
      <c r="S34" s="66"/>
      <c r="T34" s="66"/>
      <c r="U34" s="66"/>
      <c r="V34" s="66"/>
      <c r="W34" s="66"/>
      <c r="X34" s="66"/>
      <c r="Y34" s="66"/>
      <c r="Z34" s="66"/>
      <c r="AA34" s="66"/>
    </row>
    <row r="35" spans="1:27" ht="15" customHeight="1" x14ac:dyDescent="0.25">
      <c r="A35" s="376"/>
      <c r="B35" s="376"/>
      <c r="C35" s="1" t="s">
        <v>37</v>
      </c>
      <c r="D35" s="84" t="s">
        <v>38</v>
      </c>
      <c r="E35" s="84" t="s">
        <v>38</v>
      </c>
      <c r="F35" s="84" t="str">
        <f>E35</f>
        <v>N/A</v>
      </c>
      <c r="G35" s="84" t="s">
        <v>38</v>
      </c>
      <c r="H35" s="86" t="str">
        <f t="shared" si="8"/>
        <v>N/A</v>
      </c>
      <c r="I35" s="307">
        <f>I53+I68</f>
        <v>4860574.71</v>
      </c>
      <c r="J35" s="215">
        <f t="shared" ref="J35:M35" si="12">J53+J68</f>
        <v>0</v>
      </c>
      <c r="K35" s="215">
        <f t="shared" si="12"/>
        <v>4860574.71</v>
      </c>
      <c r="L35" s="215">
        <f t="shared" si="12"/>
        <v>8036241.0000000019</v>
      </c>
      <c r="M35" s="215">
        <f t="shared" si="12"/>
        <v>10531790.139999999</v>
      </c>
      <c r="N35" s="87">
        <f t="shared" si="3"/>
        <v>0.46151458065418693</v>
      </c>
      <c r="O35" s="245"/>
      <c r="P35" s="163"/>
      <c r="Q35" s="66"/>
      <c r="R35" s="66"/>
      <c r="S35" s="66"/>
      <c r="T35" s="66"/>
      <c r="U35" s="66"/>
      <c r="V35" s="66"/>
      <c r="W35" s="66"/>
      <c r="X35" s="66"/>
      <c r="Y35" s="66"/>
      <c r="Z35" s="66"/>
      <c r="AA35" s="66"/>
    </row>
    <row r="36" spans="1:27" ht="15" x14ac:dyDescent="0.25">
      <c r="A36" s="376"/>
      <c r="B36" s="376"/>
      <c r="C36" s="1" t="s">
        <v>39</v>
      </c>
      <c r="D36" s="84" t="s">
        <v>38</v>
      </c>
      <c r="E36" s="84" t="s">
        <v>38</v>
      </c>
      <c r="F36" s="84" t="str">
        <f>E36</f>
        <v>N/A</v>
      </c>
      <c r="G36" s="84" t="s">
        <v>38</v>
      </c>
      <c r="H36" s="86" t="str">
        <f t="shared" si="8"/>
        <v>N/A</v>
      </c>
      <c r="I36" s="307">
        <f>I54</f>
        <v>58415.21</v>
      </c>
      <c r="J36" s="215">
        <f>J54</f>
        <v>0</v>
      </c>
      <c r="K36" s="215">
        <f>K54</f>
        <v>58415.21</v>
      </c>
      <c r="L36" s="215">
        <f>L54</f>
        <v>50000</v>
      </c>
      <c r="M36" s="215">
        <f>M54</f>
        <v>50000.17</v>
      </c>
      <c r="N36" s="87">
        <f t="shared" si="3"/>
        <v>1.1683002277792256</v>
      </c>
      <c r="O36" s="245"/>
      <c r="P36" s="233"/>
      <c r="Q36" s="193"/>
      <c r="R36" s="193"/>
      <c r="S36" s="66"/>
      <c r="T36" s="66"/>
      <c r="U36" s="66"/>
      <c r="V36" s="66"/>
      <c r="W36" s="66"/>
      <c r="X36" s="66"/>
      <c r="Y36" s="66"/>
      <c r="Z36" s="66"/>
      <c r="AA36" s="66"/>
    </row>
    <row r="37" spans="1:27" ht="20.100000000000001" customHeight="1" x14ac:dyDescent="0.25">
      <c r="A37" s="376"/>
      <c r="B37" s="376"/>
      <c r="C37" s="2" t="s">
        <v>40</v>
      </c>
      <c r="D37" s="202">
        <f>SUM(D22,D26:D36)</f>
        <v>416528.47000000003</v>
      </c>
      <c r="E37" s="202">
        <f>SUM(E22,E26:E36)</f>
        <v>740175.70804199995</v>
      </c>
      <c r="F37" s="202">
        <f>SUM(F22,F26:F36)</f>
        <v>740175.70804199995</v>
      </c>
      <c r="G37" s="202">
        <f>SUM(G22,G26:G36)</f>
        <v>708219.41999999993</v>
      </c>
      <c r="H37" s="85">
        <f t="shared" si="1"/>
        <v>0.58813477608394316</v>
      </c>
      <c r="I37" s="308">
        <f>SUM(I22,I26:I36)</f>
        <v>126534748.95999996</v>
      </c>
      <c r="J37" s="216">
        <f>SUM(J22,J26:J36)</f>
        <v>74882575.891499996</v>
      </c>
      <c r="K37" s="216">
        <f>SUM(K22,K26:K36)</f>
        <v>51652173.068499997</v>
      </c>
      <c r="L37" s="216">
        <f>SUM(L22,L26:L36)</f>
        <v>234920484.98673782</v>
      </c>
      <c r="M37" s="216">
        <f>SUM(M22,M26:M36)</f>
        <v>226903743.03309676</v>
      </c>
      <c r="N37" s="190">
        <f>I37/M37</f>
        <v>0.55765827072118102</v>
      </c>
      <c r="O37" s="245"/>
      <c r="P37" s="162"/>
      <c r="Q37" s="66"/>
      <c r="R37" s="66"/>
      <c r="S37" s="66"/>
      <c r="T37" s="66"/>
      <c r="U37" s="66"/>
      <c r="V37" s="66"/>
      <c r="W37" s="66"/>
      <c r="X37" s="66"/>
      <c r="Y37" s="66"/>
      <c r="Z37" s="66"/>
      <c r="AA37" s="66"/>
    </row>
    <row r="38" spans="1:27" ht="20.100000000000001" customHeight="1" x14ac:dyDescent="0.25">
      <c r="A38" s="376"/>
      <c r="B38" s="376"/>
      <c r="C38" s="196" t="s">
        <v>41</v>
      </c>
      <c r="D38" s="207"/>
      <c r="E38" s="207"/>
      <c r="F38" s="207"/>
      <c r="G38" s="207"/>
      <c r="H38" s="207"/>
      <c r="I38" s="207"/>
      <c r="J38" s="197"/>
      <c r="K38" s="197"/>
      <c r="L38" s="197"/>
      <c r="M38" s="197"/>
      <c r="N38" s="198"/>
      <c r="O38" s="245"/>
      <c r="P38" s="163"/>
      <c r="Q38" s="66"/>
      <c r="R38" s="66"/>
      <c r="S38" s="66"/>
      <c r="T38" s="66"/>
      <c r="U38" s="66"/>
      <c r="V38" s="66"/>
      <c r="W38" s="66"/>
      <c r="X38" s="66"/>
      <c r="Y38" s="66"/>
      <c r="Z38" s="66"/>
      <c r="AA38" s="66"/>
    </row>
    <row r="39" spans="1:27" ht="15" x14ac:dyDescent="0.25">
      <c r="A39" s="376"/>
      <c r="B39" s="376"/>
      <c r="C39" s="1" t="s">
        <v>42</v>
      </c>
      <c r="D39" s="84">
        <f>SUM(D40:D42)</f>
        <v>122185.37999999999</v>
      </c>
      <c r="E39" s="84">
        <f>E40+E41+E42</f>
        <v>189724</v>
      </c>
      <c r="F39" s="203">
        <f t="shared" ref="F39:F50" si="13">E39</f>
        <v>189724</v>
      </c>
      <c r="G39" s="203">
        <f>SUM(G40:G41)</f>
        <v>175814.56999999998</v>
      </c>
      <c r="H39" s="86">
        <f t="shared" si="1"/>
        <v>0.69496731698629988</v>
      </c>
      <c r="I39" s="307">
        <f>SUM(I40:I41)</f>
        <v>37483117.979999997</v>
      </c>
      <c r="J39" s="215">
        <f>SUM(J40:J41)</f>
        <v>24364026.686999999</v>
      </c>
      <c r="K39" s="215">
        <f>SUM(K40:K41)</f>
        <v>13119091.292999998</v>
      </c>
      <c r="L39" s="215">
        <f>SUM(L40:L41)</f>
        <v>59524123.004322879</v>
      </c>
      <c r="M39" s="215">
        <f>SUM(M40:M41)</f>
        <v>58388931.695332818</v>
      </c>
      <c r="N39" s="87">
        <f t="shared" ref="N39:N50" si="14">IFERROR(I39/M39,"N/A")</f>
        <v>0.64195587916529939</v>
      </c>
      <c r="O39" s="245"/>
      <c r="P39" s="163"/>
      <c r="Q39" s="66"/>
      <c r="R39" s="66"/>
      <c r="S39" s="66"/>
      <c r="T39" s="66"/>
      <c r="U39" s="66"/>
      <c r="V39" s="66"/>
      <c r="W39" s="66"/>
      <c r="X39" s="66"/>
      <c r="Y39" s="66"/>
      <c r="Z39" s="66"/>
      <c r="AA39" s="66"/>
    </row>
    <row r="40" spans="1:27" ht="15" x14ac:dyDescent="0.25">
      <c r="A40" s="285" t="s">
        <v>43</v>
      </c>
      <c r="B40" s="285" t="s">
        <v>44</v>
      </c>
      <c r="C40" s="191" t="s">
        <v>45</v>
      </c>
      <c r="D40" s="297">
        <v>117032.84999999999</v>
      </c>
      <c r="E40" s="251">
        <v>175024</v>
      </c>
      <c r="F40" s="203">
        <f t="shared" si="13"/>
        <v>175024</v>
      </c>
      <c r="G40" s="299">
        <v>164048.03999999998</v>
      </c>
      <c r="H40" s="87">
        <f>IF(AND(ISNUMBER(G40)=TRUE,G40&lt;&gt;0),D40/G40,"N/A")</f>
        <v>0.71340596327758632</v>
      </c>
      <c r="I40" s="309">
        <v>33828480.369999997</v>
      </c>
      <c r="J40" s="215">
        <f>I40*0.65</f>
        <v>21988512.240499999</v>
      </c>
      <c r="K40" s="215">
        <f t="shared" ref="K40:K67" si="15">I40-J40</f>
        <v>11839968.129499998</v>
      </c>
      <c r="L40" s="295">
        <v>51248795.004322879</v>
      </c>
      <c r="M40" s="295">
        <v>50707778.210000008</v>
      </c>
      <c r="N40" s="87">
        <f t="shared" si="14"/>
        <v>0.66712606160545074</v>
      </c>
      <c r="O40" s="245"/>
      <c r="P40" s="233"/>
      <c r="Q40" s="461"/>
      <c r="R40" s="462"/>
      <c r="S40" s="66"/>
      <c r="T40" s="66"/>
      <c r="U40" s="66"/>
      <c r="V40" s="66"/>
      <c r="W40" s="66"/>
      <c r="X40" s="66"/>
      <c r="Y40" s="66"/>
      <c r="Z40" s="66"/>
      <c r="AA40" s="66"/>
    </row>
    <row r="41" spans="1:27" ht="15" x14ac:dyDescent="0.25">
      <c r="A41" s="285" t="s">
        <v>46</v>
      </c>
      <c r="B41" s="285" t="s">
        <v>47</v>
      </c>
      <c r="C41" s="191" t="s">
        <v>48</v>
      </c>
      <c r="D41" s="297">
        <v>5152.53</v>
      </c>
      <c r="E41" s="251">
        <v>14700</v>
      </c>
      <c r="F41" s="203">
        <f t="shared" si="13"/>
        <v>14700</v>
      </c>
      <c r="G41" s="299">
        <v>11766.529999999999</v>
      </c>
      <c r="H41" s="87">
        <f t="shared" si="1"/>
        <v>0.43789715404626517</v>
      </c>
      <c r="I41" s="309">
        <v>3654637.61</v>
      </c>
      <c r="J41" s="215">
        <f>I41*0.65</f>
        <v>2375514.4465000001</v>
      </c>
      <c r="K41" s="215">
        <f t="shared" si="15"/>
        <v>1279123.1634999998</v>
      </c>
      <c r="L41" s="295">
        <v>8275328</v>
      </c>
      <c r="M41" s="295">
        <v>7681153.4853328103</v>
      </c>
      <c r="N41" s="87">
        <f t="shared" si="14"/>
        <v>0.47579281119411859</v>
      </c>
      <c r="O41" s="245"/>
      <c r="P41" s="462"/>
      <c r="Q41" s="461"/>
      <c r="R41" s="462"/>
      <c r="S41" s="66"/>
      <c r="T41" s="66"/>
      <c r="U41" s="66"/>
      <c r="V41" s="66"/>
      <c r="W41" s="66"/>
      <c r="X41" s="66"/>
      <c r="Y41" s="66"/>
      <c r="Z41" s="66"/>
      <c r="AA41" s="66"/>
    </row>
    <row r="42" spans="1:27" ht="15" hidden="1" x14ac:dyDescent="0.25">
      <c r="A42" s="286"/>
      <c r="B42" s="286"/>
      <c r="C42" s="191" t="s">
        <v>27</v>
      </c>
      <c r="D42" s="297" t="s">
        <v>38</v>
      </c>
      <c r="E42" s="252"/>
      <c r="F42" s="203"/>
      <c r="G42" s="299"/>
      <c r="H42" s="87"/>
      <c r="I42" s="309" t="e">
        <v>#N/A</v>
      </c>
      <c r="J42" s="215"/>
      <c r="K42" s="215"/>
      <c r="L42" s="295" t="e">
        <v>#N/A</v>
      </c>
      <c r="M42" s="295"/>
      <c r="N42" s="87"/>
      <c r="O42" s="245"/>
      <c r="P42" s="462"/>
      <c r="Q42" s="461"/>
      <c r="R42" s="462"/>
      <c r="S42" s="66"/>
      <c r="T42" s="66"/>
      <c r="U42" s="66"/>
      <c r="V42" s="66"/>
      <c r="W42" s="66"/>
      <c r="X42" s="66"/>
      <c r="Y42" s="66"/>
      <c r="Z42" s="66"/>
      <c r="AA42" s="66"/>
    </row>
    <row r="43" spans="1:27" ht="15" hidden="1" x14ac:dyDescent="0.25">
      <c r="A43" s="415"/>
      <c r="B43" s="391"/>
      <c r="C43" s="302" t="s">
        <v>49</v>
      </c>
      <c r="D43" s="297" t="s">
        <v>38</v>
      </c>
      <c r="E43" s="204" t="s">
        <v>38</v>
      </c>
      <c r="F43" s="203" t="str">
        <f t="shared" si="13"/>
        <v>N/A</v>
      </c>
      <c r="G43" s="297"/>
      <c r="H43" s="87" t="str">
        <f t="shared" si="1"/>
        <v>N/A</v>
      </c>
      <c r="I43" s="309" t="e">
        <v>#N/A</v>
      </c>
      <c r="J43" s="215" t="s">
        <v>38</v>
      </c>
      <c r="K43" s="215" t="str">
        <f t="shared" ref="K43" si="16">J43</f>
        <v>N/A</v>
      </c>
      <c r="L43" s="295" t="e">
        <v>#N/A</v>
      </c>
      <c r="M43" s="295" t="e">
        <v>#N/A</v>
      </c>
      <c r="N43" s="87" t="str">
        <f t="shared" si="14"/>
        <v>N/A</v>
      </c>
      <c r="O43" s="245"/>
      <c r="P43" s="462"/>
      <c r="Q43" s="461"/>
      <c r="R43" s="462"/>
      <c r="S43" s="66"/>
      <c r="T43" s="66"/>
      <c r="U43" s="66"/>
      <c r="V43" s="66"/>
      <c r="W43" s="66"/>
      <c r="X43" s="66"/>
      <c r="Y43" s="66"/>
      <c r="Z43" s="66"/>
      <c r="AA43" s="66"/>
    </row>
    <row r="44" spans="1:27" ht="15" x14ac:dyDescent="0.25">
      <c r="A44" s="285" t="s">
        <v>50</v>
      </c>
      <c r="B44" s="285" t="s">
        <v>28</v>
      </c>
      <c r="C44" s="1" t="s">
        <v>51</v>
      </c>
      <c r="D44" s="297">
        <v>99855.010000000009</v>
      </c>
      <c r="E44" s="251">
        <v>212171</v>
      </c>
      <c r="F44" s="203">
        <f t="shared" si="13"/>
        <v>212171</v>
      </c>
      <c r="G44" s="299">
        <v>188943.65</v>
      </c>
      <c r="H44" s="87">
        <f t="shared" si="1"/>
        <v>0.52849095484288577</v>
      </c>
      <c r="I44" s="309">
        <v>32469677.84</v>
      </c>
      <c r="J44" s="215">
        <f>I44*0.65</f>
        <v>21105290.596000001</v>
      </c>
      <c r="K44" s="215">
        <f t="shared" si="15"/>
        <v>11364387.243999999</v>
      </c>
      <c r="L44" s="295">
        <v>75360608.549720004</v>
      </c>
      <c r="M44" s="295">
        <v>68442698.75</v>
      </c>
      <c r="N44" s="87">
        <f t="shared" si="14"/>
        <v>0.47440674364115426</v>
      </c>
      <c r="O44" s="245"/>
      <c r="P44" s="233"/>
      <c r="Q44" s="461"/>
      <c r="R44" s="462"/>
      <c r="S44" s="66"/>
      <c r="T44" s="66"/>
      <c r="U44" s="66"/>
      <c r="V44" s="66"/>
      <c r="W44" s="66"/>
      <c r="X44" s="66"/>
      <c r="Y44" s="66"/>
      <c r="Z44" s="66"/>
      <c r="AA44" s="66"/>
    </row>
    <row r="45" spans="1:27" ht="15" x14ac:dyDescent="0.25">
      <c r="A45" s="285" t="s">
        <v>52</v>
      </c>
      <c r="B45" s="285" t="s">
        <v>53</v>
      </c>
      <c r="C45" s="1" t="s">
        <v>54</v>
      </c>
      <c r="D45" s="297">
        <v>76924</v>
      </c>
      <c r="E45" s="251">
        <v>95103</v>
      </c>
      <c r="F45" s="203">
        <f t="shared" si="13"/>
        <v>95103</v>
      </c>
      <c r="G45" s="299">
        <v>113241</v>
      </c>
      <c r="H45" s="87">
        <f t="shared" si="1"/>
        <v>0.67929460177850776</v>
      </c>
      <c r="I45" s="309">
        <v>12719495.07</v>
      </c>
      <c r="J45" s="215">
        <f>I45*0.65</f>
        <v>8267671.7955000009</v>
      </c>
      <c r="K45" s="215">
        <f t="shared" si="15"/>
        <v>4451823.2744999994</v>
      </c>
      <c r="L45" s="295">
        <v>13402536.768622689</v>
      </c>
      <c r="M45" s="295">
        <v>19982261.028172135</v>
      </c>
      <c r="N45" s="87">
        <f t="shared" si="14"/>
        <v>0.63653933116314154</v>
      </c>
      <c r="O45" s="245"/>
      <c r="P45" s="462"/>
      <c r="Q45" s="461"/>
      <c r="R45" s="462"/>
      <c r="S45" s="66"/>
      <c r="T45" s="66"/>
      <c r="U45" s="66"/>
      <c r="V45" s="66"/>
      <c r="W45" s="66"/>
      <c r="X45" s="66"/>
      <c r="Y45" s="66"/>
      <c r="Z45" s="66"/>
      <c r="AA45" s="66"/>
    </row>
    <row r="46" spans="1:27" ht="15" x14ac:dyDescent="0.25">
      <c r="A46" t="s">
        <v>55</v>
      </c>
      <c r="B46" s="384"/>
      <c r="C46" s="1" t="s">
        <v>56</v>
      </c>
      <c r="D46" s="297" t="s">
        <v>38</v>
      </c>
      <c r="E46" s="251" t="s">
        <v>38</v>
      </c>
      <c r="F46" s="203" t="str">
        <f t="shared" si="13"/>
        <v>N/A</v>
      </c>
      <c r="G46" s="299" t="s">
        <v>38</v>
      </c>
      <c r="H46" s="87" t="str">
        <f t="shared" si="1"/>
        <v>N/A</v>
      </c>
      <c r="I46" s="309" t="s">
        <v>38</v>
      </c>
      <c r="J46" s="215" t="s">
        <v>38</v>
      </c>
      <c r="K46" s="215" t="str">
        <f t="shared" ref="K46" si="17">J46</f>
        <v>N/A</v>
      </c>
      <c r="L46" s="295" t="s">
        <v>38</v>
      </c>
      <c r="M46" s="295" t="s">
        <v>38</v>
      </c>
      <c r="N46" s="87" t="str">
        <f t="shared" si="14"/>
        <v>N/A</v>
      </c>
      <c r="O46" s="245"/>
      <c r="P46" s="462"/>
      <c r="Q46" s="461"/>
      <c r="R46" s="462"/>
      <c r="S46" s="66"/>
      <c r="T46" s="66"/>
      <c r="U46" s="66"/>
      <c r="V46" s="66"/>
      <c r="W46" s="66"/>
      <c r="X46" s="66"/>
      <c r="Y46" s="66"/>
      <c r="Z46" s="66"/>
      <c r="AA46" s="66"/>
    </row>
    <row r="47" spans="1:27" ht="15" x14ac:dyDescent="0.25">
      <c r="A47" s="285" t="s">
        <v>57</v>
      </c>
      <c r="B47" s="285" t="s">
        <v>58</v>
      </c>
      <c r="C47" s="1" t="s">
        <v>59</v>
      </c>
      <c r="D47" s="297">
        <v>30496.3</v>
      </c>
      <c r="E47" s="204">
        <v>52245</v>
      </c>
      <c r="F47" s="203">
        <f t="shared" si="13"/>
        <v>52245</v>
      </c>
      <c r="G47" s="299">
        <v>52278.3</v>
      </c>
      <c r="H47" s="87">
        <f t="shared" si="1"/>
        <v>0.58334528858053913</v>
      </c>
      <c r="I47" s="309">
        <v>7555650.4900000002</v>
      </c>
      <c r="J47" s="215">
        <f>I47*0.65</f>
        <v>4911172.8185000001</v>
      </c>
      <c r="K47" s="215">
        <f t="shared" si="15"/>
        <v>2644477.6715000002</v>
      </c>
      <c r="L47" s="295">
        <v>17115684</v>
      </c>
      <c r="M47" s="295">
        <v>14950360.800000001</v>
      </c>
      <c r="N47" s="87">
        <f t="shared" si="14"/>
        <v>0.50538248481601866</v>
      </c>
      <c r="O47" s="245"/>
      <c r="P47" s="233"/>
      <c r="Q47" s="461"/>
      <c r="R47" s="462"/>
      <c r="S47" s="66"/>
      <c r="T47" s="66"/>
      <c r="U47" s="66"/>
      <c r="V47" s="66"/>
      <c r="W47" s="66"/>
      <c r="X47" s="66"/>
      <c r="Y47" s="66"/>
      <c r="Z47" s="66"/>
      <c r="AA47" s="66"/>
    </row>
    <row r="48" spans="1:27" ht="15" x14ac:dyDescent="0.25">
      <c r="A48" s="285" t="s">
        <v>60</v>
      </c>
      <c r="B48" s="285" t="s">
        <v>61</v>
      </c>
      <c r="C48" s="1" t="s">
        <v>62</v>
      </c>
      <c r="D48" s="297">
        <v>12188.9</v>
      </c>
      <c r="E48" s="204">
        <v>36100</v>
      </c>
      <c r="F48" s="203">
        <f t="shared" si="13"/>
        <v>36100</v>
      </c>
      <c r="G48" s="299">
        <v>26538.9</v>
      </c>
      <c r="H48" s="87">
        <f t="shared" si="1"/>
        <v>0.45928429588264769</v>
      </c>
      <c r="I48" s="309">
        <v>5074915.32</v>
      </c>
      <c r="J48" s="215">
        <f>I48*0.65</f>
        <v>3298694.9580000001</v>
      </c>
      <c r="K48" s="215">
        <f t="shared" si="15"/>
        <v>1776220.3620000002</v>
      </c>
      <c r="L48" s="295">
        <v>12669953</v>
      </c>
      <c r="M48" s="295">
        <v>9790930.290000001</v>
      </c>
      <c r="N48" s="87">
        <f t="shared" si="14"/>
        <v>0.51832820474508756</v>
      </c>
      <c r="O48" s="245"/>
      <c r="P48" s="462"/>
      <c r="Q48" s="461"/>
      <c r="R48" s="462"/>
      <c r="S48" s="66"/>
      <c r="T48" s="66"/>
      <c r="U48" s="66"/>
      <c r="V48" s="66"/>
      <c r="W48" s="66"/>
      <c r="X48" s="66"/>
      <c r="Y48" s="66"/>
      <c r="Z48" s="66"/>
      <c r="AA48" s="66"/>
    </row>
    <row r="49" spans="1:27" ht="15" x14ac:dyDescent="0.25">
      <c r="A49" s="285" t="s">
        <v>63</v>
      </c>
      <c r="B49" s="285" t="s">
        <v>64</v>
      </c>
      <c r="C49" s="1" t="s">
        <v>65</v>
      </c>
      <c r="D49" s="297">
        <v>7408.52</v>
      </c>
      <c r="E49" s="204">
        <v>37862</v>
      </c>
      <c r="F49" s="203">
        <f t="shared" si="13"/>
        <v>37862</v>
      </c>
      <c r="G49" s="299">
        <v>37862.519999999997</v>
      </c>
      <c r="H49" s="87">
        <f t="shared" si="1"/>
        <v>0.19566896234059436</v>
      </c>
      <c r="I49" s="309">
        <v>5120771.05</v>
      </c>
      <c r="J49" s="215">
        <v>0</v>
      </c>
      <c r="K49" s="215">
        <f t="shared" si="15"/>
        <v>5120771.05</v>
      </c>
      <c r="L49" s="295">
        <v>8256814.0176195074</v>
      </c>
      <c r="M49" s="295">
        <v>8281550.5600000005</v>
      </c>
      <c r="N49" s="87">
        <f t="shared" si="14"/>
        <v>0.61833481700074289</v>
      </c>
      <c r="O49" s="245"/>
      <c r="P49" s="462"/>
      <c r="Q49" s="461"/>
      <c r="R49" s="462"/>
      <c r="S49" s="66"/>
      <c r="T49" s="66"/>
      <c r="U49" s="66"/>
      <c r="V49" s="66"/>
      <c r="W49" s="66"/>
      <c r="X49" s="66"/>
      <c r="Y49" s="66"/>
      <c r="Z49" s="66"/>
      <c r="AA49" s="66"/>
    </row>
    <row r="50" spans="1:27" ht="15" x14ac:dyDescent="0.25">
      <c r="A50" s="285" t="s">
        <v>66</v>
      </c>
      <c r="B50" s="285" t="s">
        <v>67</v>
      </c>
      <c r="C50" s="1" t="s">
        <v>68</v>
      </c>
      <c r="D50" s="297">
        <v>4276.32</v>
      </c>
      <c r="E50" s="204">
        <v>5204</v>
      </c>
      <c r="F50" s="203">
        <f t="shared" si="13"/>
        <v>5204</v>
      </c>
      <c r="G50" s="299">
        <v>4670.32</v>
      </c>
      <c r="H50" s="87">
        <f t="shared" si="1"/>
        <v>0.91563747237876636</v>
      </c>
      <c r="I50" s="309">
        <v>2394679.0100000002</v>
      </c>
      <c r="J50" s="215">
        <f>I50*0.65</f>
        <v>1556541.3565000002</v>
      </c>
      <c r="K50" s="215">
        <f t="shared" si="15"/>
        <v>838137.65350000001</v>
      </c>
      <c r="L50" s="295">
        <v>2795623.2464551372</v>
      </c>
      <c r="M50" s="295">
        <v>2732742.8881414291</v>
      </c>
      <c r="N50" s="87">
        <f t="shared" si="14"/>
        <v>0.87629137025351478</v>
      </c>
      <c r="O50" s="245"/>
      <c r="P50" s="233"/>
      <c r="Q50" s="461"/>
      <c r="R50" s="462"/>
      <c r="S50" s="66"/>
      <c r="T50" s="66"/>
      <c r="U50" s="66"/>
      <c r="V50" s="66"/>
      <c r="W50" s="66"/>
      <c r="X50" s="66"/>
      <c r="Y50" s="66"/>
      <c r="Z50" s="66"/>
      <c r="AA50" s="66"/>
    </row>
    <row r="51" spans="1:27" ht="15" x14ac:dyDescent="0.25">
      <c r="A51" s="386"/>
      <c r="B51" s="285" t="s">
        <v>69</v>
      </c>
      <c r="C51" s="1" t="s">
        <v>70</v>
      </c>
      <c r="D51" s="297" t="s">
        <v>38</v>
      </c>
      <c r="E51" s="248" t="s">
        <v>38</v>
      </c>
      <c r="F51" s="203" t="str">
        <f>E51</f>
        <v>N/A</v>
      </c>
      <c r="G51" s="297" t="s">
        <v>38</v>
      </c>
      <c r="H51" s="87" t="str">
        <f t="shared" si="1"/>
        <v>N/A</v>
      </c>
      <c r="I51" s="309">
        <v>420614.40000000002</v>
      </c>
      <c r="J51" s="215">
        <f>I51*0.65</f>
        <v>273399.36000000004</v>
      </c>
      <c r="K51" s="215">
        <f t="shared" si="15"/>
        <v>147215.03999999998</v>
      </c>
      <c r="L51" s="295">
        <v>1131656.92</v>
      </c>
      <c r="M51" s="295">
        <v>795104.29</v>
      </c>
      <c r="N51" s="87"/>
      <c r="O51" s="245"/>
      <c r="P51" s="462"/>
      <c r="Q51" s="461"/>
      <c r="R51" s="462"/>
      <c r="S51" s="66"/>
      <c r="T51" s="66"/>
      <c r="U51" s="66"/>
      <c r="V51" s="66"/>
      <c r="W51" s="66"/>
      <c r="X51" s="66"/>
      <c r="Y51" s="66"/>
      <c r="Z51" s="66"/>
      <c r="AA51" s="66"/>
    </row>
    <row r="52" spans="1:27" ht="15" x14ac:dyDescent="0.25">
      <c r="A52" s="285" t="s">
        <v>71</v>
      </c>
      <c r="B52" s="285" t="s">
        <v>72</v>
      </c>
      <c r="C52" s="1" t="s">
        <v>73</v>
      </c>
      <c r="D52" s="297">
        <v>827.50000000000011</v>
      </c>
      <c r="E52" s="204">
        <v>1435</v>
      </c>
      <c r="F52" s="203">
        <f t="shared" ref="F52" si="18">E52</f>
        <v>1435</v>
      </c>
      <c r="G52" s="299">
        <v>1307.5</v>
      </c>
      <c r="H52" s="87">
        <f t="shared" si="1"/>
        <v>0.63288718929254306</v>
      </c>
      <c r="I52" s="309">
        <v>330289.86</v>
      </c>
      <c r="J52" s="215">
        <v>0</v>
      </c>
      <c r="K52" s="215">
        <f t="shared" si="15"/>
        <v>330289.86</v>
      </c>
      <c r="L52" s="295">
        <v>457455.83</v>
      </c>
      <c r="M52" s="295">
        <v>487766.5</v>
      </c>
      <c r="N52" s="87">
        <f t="shared" ref="N52:N54" si="19">IFERROR(I52/M52,"N/A")</f>
        <v>0.67714748757858523</v>
      </c>
      <c r="O52" s="245"/>
      <c r="P52" s="462"/>
      <c r="Q52" s="461"/>
      <c r="R52" s="462"/>
      <c r="S52" s="66"/>
      <c r="T52" s="66"/>
      <c r="U52" s="66"/>
      <c r="V52" s="66"/>
      <c r="W52" s="66"/>
      <c r="X52" s="66"/>
      <c r="Y52" s="66"/>
      <c r="Z52" s="66"/>
      <c r="AA52" s="66"/>
    </row>
    <row r="53" spans="1:27" ht="15" x14ac:dyDescent="0.25">
      <c r="A53" s="388"/>
      <c r="B53" s="285" t="s">
        <v>74</v>
      </c>
      <c r="C53" s="1" t="s">
        <v>75</v>
      </c>
      <c r="D53" s="297" t="s">
        <v>38</v>
      </c>
      <c r="E53" s="248" t="s">
        <v>38</v>
      </c>
      <c r="F53" s="203" t="str">
        <f>E53</f>
        <v>N/A</v>
      </c>
      <c r="G53" s="297" t="s">
        <v>38</v>
      </c>
      <c r="H53" s="84" t="str">
        <f>IF(AND(ISNUMBER(G53)=TRUE,G53&lt;&gt;0),D53/G53,"N/A")</f>
        <v>N/A</v>
      </c>
      <c r="I53" s="309">
        <v>3609656.79</v>
      </c>
      <c r="J53" s="215">
        <v>0</v>
      </c>
      <c r="K53" s="215">
        <f>I53-J53</f>
        <v>3609656.79</v>
      </c>
      <c r="L53" s="295">
        <v>6173000.0000000019</v>
      </c>
      <c r="M53" s="295">
        <v>7673099.79</v>
      </c>
      <c r="N53" s="87">
        <f t="shared" si="19"/>
        <v>0.47043005940106508</v>
      </c>
      <c r="O53" s="245"/>
      <c r="P53" s="233"/>
      <c r="Q53" s="461"/>
      <c r="R53" s="462"/>
      <c r="S53" s="66"/>
      <c r="T53" s="66"/>
      <c r="U53" s="66"/>
      <c r="V53" s="66"/>
      <c r="W53" s="66"/>
      <c r="X53" s="66"/>
      <c r="Y53" s="66"/>
      <c r="Z53" s="66"/>
      <c r="AA53" s="66"/>
    </row>
    <row r="54" spans="1:27" ht="15" x14ac:dyDescent="0.25">
      <c r="A54" s="386"/>
      <c r="B54" s="387" t="s">
        <v>39</v>
      </c>
      <c r="C54" s="1" t="s">
        <v>76</v>
      </c>
      <c r="D54" s="297" t="s">
        <v>38</v>
      </c>
      <c r="E54" s="248" t="s">
        <v>38</v>
      </c>
      <c r="F54" s="203" t="str">
        <f>E54</f>
        <v>N/A</v>
      </c>
      <c r="G54" s="297" t="s">
        <v>38</v>
      </c>
      <c r="H54" s="84" t="str">
        <f>IF(AND(ISNUMBER(G54)=TRUE,G54&lt;&gt;0),D54/G54,"N/A")</f>
        <v>N/A</v>
      </c>
      <c r="I54" s="309">
        <v>58415.21</v>
      </c>
      <c r="J54" s="215">
        <v>0</v>
      </c>
      <c r="K54" s="215">
        <f>I54-J54</f>
        <v>58415.21</v>
      </c>
      <c r="L54" s="295">
        <v>50000</v>
      </c>
      <c r="M54" s="295">
        <v>50000.17</v>
      </c>
      <c r="N54" s="87">
        <f t="shared" si="19"/>
        <v>1.1683002277792256</v>
      </c>
      <c r="O54" s="245"/>
      <c r="P54" s="462"/>
      <c r="Q54" s="461"/>
      <c r="R54" s="462"/>
      <c r="S54" s="66"/>
      <c r="T54" s="66"/>
      <c r="U54" s="66"/>
      <c r="V54" s="66"/>
      <c r="W54" s="66"/>
      <c r="X54" s="66"/>
      <c r="Y54" s="66"/>
      <c r="Z54" s="66"/>
      <c r="AA54" s="66"/>
    </row>
    <row r="55" spans="1:27" ht="20.100000000000001" customHeight="1" x14ac:dyDescent="0.25">
      <c r="A55" s="373"/>
      <c r="B55" s="376"/>
      <c r="C55" s="41" t="s">
        <v>77</v>
      </c>
      <c r="D55" s="292">
        <f>SUM(D39,D43:D54)</f>
        <v>354161.93000000005</v>
      </c>
      <c r="E55" s="220">
        <f>SUM(E39,E43:E54)</f>
        <v>629844</v>
      </c>
      <c r="F55" s="220">
        <f>SUM(F39,F43:F54)</f>
        <v>629844</v>
      </c>
      <c r="G55" s="220">
        <f>SUM(G39,G43:G54)</f>
        <v>600656.76</v>
      </c>
      <c r="H55" s="221">
        <f t="shared" si="1"/>
        <v>0.58962448037711257</v>
      </c>
      <c r="I55" s="310">
        <f>SUM(I39,I44:I54)</f>
        <v>107237283.02</v>
      </c>
      <c r="J55" s="222">
        <f>SUM(J39,J44:J54)</f>
        <v>63776797.571499996</v>
      </c>
      <c r="K55" s="222">
        <f>I55-J55</f>
        <v>43460485.4485</v>
      </c>
      <c r="L55" s="222">
        <f>SUM(L39,L44:L54)</f>
        <v>196937455.33674023</v>
      </c>
      <c r="M55" s="222">
        <f>SUM(M39,M44:M54)</f>
        <v>191575446.76164636</v>
      </c>
      <c r="N55" s="88">
        <f>I55/M55</f>
        <v>0.55976527698469669</v>
      </c>
      <c r="O55" s="245"/>
      <c r="P55" s="462"/>
      <c r="Q55" s="461"/>
      <c r="R55" s="462"/>
      <c r="S55" s="66"/>
      <c r="T55" s="66"/>
      <c r="U55" s="66"/>
      <c r="V55" s="66"/>
      <c r="W55" s="66"/>
      <c r="X55" s="66"/>
      <c r="Y55" s="66"/>
      <c r="Z55" s="66"/>
      <c r="AA55" s="66"/>
    </row>
    <row r="56" spans="1:27" ht="20.100000000000001" customHeight="1" x14ac:dyDescent="0.25">
      <c r="A56" s="375"/>
      <c r="B56" s="376"/>
      <c r="C56" s="294" t="s">
        <v>78</v>
      </c>
      <c r="D56" s="207"/>
      <c r="E56" s="207"/>
      <c r="F56" s="207"/>
      <c r="G56" s="207"/>
      <c r="H56" s="207"/>
      <c r="I56" s="207"/>
      <c r="J56" s="197"/>
      <c r="K56" s="197"/>
      <c r="L56" s="197"/>
      <c r="M56" s="197"/>
      <c r="N56" s="198"/>
      <c r="O56" s="245"/>
      <c r="P56" s="462"/>
      <c r="Q56" s="461"/>
      <c r="R56" s="462"/>
      <c r="S56" s="66"/>
      <c r="T56" s="66"/>
      <c r="U56" s="66"/>
      <c r="V56" s="66"/>
      <c r="W56" s="66"/>
      <c r="X56" s="66"/>
      <c r="Y56" s="66"/>
      <c r="Z56" s="66"/>
      <c r="AA56" s="66"/>
    </row>
    <row r="57" spans="1:27" ht="15" x14ac:dyDescent="0.25">
      <c r="A57" s="379"/>
      <c r="B57" s="376"/>
      <c r="C57" s="1" t="s">
        <v>79</v>
      </c>
      <c r="D57" s="290">
        <f>SUM(D58:D59)</f>
        <v>15017.289999999999</v>
      </c>
      <c r="E57" s="200">
        <f>E58+E59</f>
        <v>37459.279999999999</v>
      </c>
      <c r="F57" s="200">
        <f t="shared" ref="F57:F65" si="20">E57</f>
        <v>37459.279999999999</v>
      </c>
      <c r="G57" s="200">
        <f>SUM(G58:G59)</f>
        <v>29541.839999999997</v>
      </c>
      <c r="H57" s="87">
        <f t="shared" si="1"/>
        <v>0.50833969718880068</v>
      </c>
      <c r="I57" s="307">
        <f>SUM(I58:I59)</f>
        <v>6405235.9500000002</v>
      </c>
      <c r="J57" s="215">
        <f>SUM(J58:J59)</f>
        <v>4163403.3675000002</v>
      </c>
      <c r="K57" s="215">
        <f t="shared" si="15"/>
        <v>2241832.5825</v>
      </c>
      <c r="L57" s="215">
        <f>SUM(L58:L59)</f>
        <v>13860620.99672728</v>
      </c>
      <c r="M57" s="215">
        <f>SUM(M58:M59)</f>
        <v>12488418.830754802</v>
      </c>
      <c r="N57" s="87">
        <f t="shared" ref="N57:N68" si="21">IFERROR(I57/M57,"N/A")</f>
        <v>0.51289406904147428</v>
      </c>
      <c r="O57" s="245"/>
      <c r="P57" s="233"/>
      <c r="Q57" s="461"/>
      <c r="R57" s="462"/>
      <c r="S57" s="66"/>
      <c r="T57" s="66"/>
      <c r="U57" s="66"/>
      <c r="V57" s="66"/>
      <c r="W57" s="66"/>
      <c r="X57" s="66"/>
      <c r="Y57" s="66"/>
      <c r="Z57" s="66"/>
      <c r="AA57" s="66"/>
    </row>
    <row r="58" spans="1:27" ht="15" x14ac:dyDescent="0.25">
      <c r="A58" s="285" t="s">
        <v>80</v>
      </c>
      <c r="B58" s="285" t="s">
        <v>81</v>
      </c>
      <c r="C58" s="436" t="s">
        <v>82</v>
      </c>
      <c r="D58" s="297">
        <v>14125.939999999999</v>
      </c>
      <c r="E58" s="251">
        <v>35459.279999999999</v>
      </c>
      <c r="F58" s="200">
        <f t="shared" si="20"/>
        <v>35459.279999999999</v>
      </c>
      <c r="G58" s="299">
        <v>28071.489999999998</v>
      </c>
      <c r="H58" s="87">
        <f t="shared" si="1"/>
        <v>0.50321304640402054</v>
      </c>
      <c r="I58" s="309">
        <v>5763500.0099999998</v>
      </c>
      <c r="J58" s="215">
        <f>I58*0.65</f>
        <v>3746275.0065000001</v>
      </c>
      <c r="K58" s="215">
        <f t="shared" si="15"/>
        <v>2017225.0034999996</v>
      </c>
      <c r="L58" s="295">
        <v>12528424.99672728</v>
      </c>
      <c r="M58" s="295">
        <v>11535690.529999999</v>
      </c>
      <c r="N58" s="87">
        <f t="shared" si="21"/>
        <v>0.499623320772285</v>
      </c>
      <c r="O58" s="245"/>
      <c r="P58" s="462"/>
      <c r="Q58" s="461"/>
      <c r="R58" s="462"/>
      <c r="S58" s="66"/>
      <c r="T58" s="66"/>
      <c r="U58" s="66"/>
      <c r="V58" s="66"/>
      <c r="W58" s="66"/>
      <c r="X58" s="66"/>
      <c r="Y58" s="66"/>
      <c r="Z58" s="66"/>
      <c r="AA58" s="66"/>
    </row>
    <row r="59" spans="1:27" ht="15" x14ac:dyDescent="0.25">
      <c r="A59" s="285" t="s">
        <v>83</v>
      </c>
      <c r="B59" s="285" t="s">
        <v>84</v>
      </c>
      <c r="C59" s="191" t="s">
        <v>85</v>
      </c>
      <c r="D59" s="297">
        <v>891.35</v>
      </c>
      <c r="E59" s="251">
        <v>2000</v>
      </c>
      <c r="F59" s="200">
        <f t="shared" si="20"/>
        <v>2000</v>
      </c>
      <c r="G59" s="299">
        <v>1470.35</v>
      </c>
      <c r="H59" s="87">
        <f t="shared" si="1"/>
        <v>0.60621620702553825</v>
      </c>
      <c r="I59" s="309">
        <v>641735.94000000006</v>
      </c>
      <c r="J59" s="215">
        <f>I59*0.65</f>
        <v>417128.36100000003</v>
      </c>
      <c r="K59" s="215">
        <f t="shared" si="15"/>
        <v>224607.57900000003</v>
      </c>
      <c r="L59" s="295">
        <v>1332196</v>
      </c>
      <c r="M59" s="295">
        <v>952728.30075480277</v>
      </c>
      <c r="N59" s="87">
        <f t="shared" si="21"/>
        <v>0.67357707280405366</v>
      </c>
      <c r="O59" s="245"/>
      <c r="P59" s="462"/>
      <c r="Q59" s="461"/>
      <c r="R59" s="462"/>
      <c r="S59" s="66"/>
      <c r="T59" s="66"/>
      <c r="U59" s="66"/>
      <c r="V59" s="66"/>
      <c r="W59" s="66"/>
      <c r="X59" s="66"/>
      <c r="Y59" s="66"/>
      <c r="Z59" s="66"/>
      <c r="AA59" s="66"/>
    </row>
    <row r="60" spans="1:27" ht="15" x14ac:dyDescent="0.25">
      <c r="A60" s="285" t="s">
        <v>86</v>
      </c>
      <c r="B60" s="285" t="s">
        <v>87</v>
      </c>
      <c r="C60" s="1" t="s">
        <v>88</v>
      </c>
      <c r="D60" s="297">
        <v>14901.850000000002</v>
      </c>
      <c r="E60" s="251">
        <v>36808.428042</v>
      </c>
      <c r="F60" s="200">
        <f t="shared" si="20"/>
        <v>36808.428042</v>
      </c>
      <c r="G60" s="299">
        <v>25420.19</v>
      </c>
      <c r="H60" s="87">
        <f t="shared" si="1"/>
        <v>0.58622103139276316</v>
      </c>
      <c r="I60" s="309">
        <v>5272772.5</v>
      </c>
      <c r="J60" s="215">
        <f>I60*0.65</f>
        <v>3427302.125</v>
      </c>
      <c r="K60" s="215">
        <f t="shared" si="15"/>
        <v>1845470.375</v>
      </c>
      <c r="L60" s="295">
        <v>13069425.263999999</v>
      </c>
      <c r="M60" s="295">
        <v>9283906.7400000002</v>
      </c>
      <c r="N60" s="87">
        <f t="shared" si="21"/>
        <v>0.56794759444125997</v>
      </c>
      <c r="O60" s="245"/>
      <c r="P60" s="233"/>
      <c r="Q60" s="461"/>
      <c r="R60" s="462"/>
      <c r="S60" s="66"/>
      <c r="T60" s="66"/>
      <c r="U60" s="66"/>
      <c r="V60" s="66"/>
      <c r="W60" s="66"/>
      <c r="X60" s="66"/>
      <c r="Y60" s="66"/>
      <c r="Z60" s="66"/>
      <c r="AA60" s="66"/>
    </row>
    <row r="61" spans="1:27" ht="15" x14ac:dyDescent="0.25">
      <c r="A61" s="285" t="s">
        <v>89</v>
      </c>
      <c r="B61" s="285" t="s">
        <v>90</v>
      </c>
      <c r="C61" s="1" t="s">
        <v>91</v>
      </c>
      <c r="D61" s="297">
        <v>20396</v>
      </c>
      <c r="E61" s="251">
        <v>13994</v>
      </c>
      <c r="F61" s="200">
        <f t="shared" si="20"/>
        <v>13994</v>
      </c>
      <c r="G61" s="299">
        <v>26615</v>
      </c>
      <c r="H61" s="87">
        <f t="shared" si="1"/>
        <v>0.76633477362389635</v>
      </c>
      <c r="I61" s="309">
        <v>2188213.89</v>
      </c>
      <c r="J61" s="215">
        <f>I61*0.65</f>
        <v>1422339.0285000002</v>
      </c>
      <c r="K61" s="215">
        <f t="shared" si="15"/>
        <v>765874.86149999988</v>
      </c>
      <c r="L61" s="295">
        <v>1905330.4777485845</v>
      </c>
      <c r="M61" s="295">
        <v>3225468.1653709263</v>
      </c>
      <c r="N61" s="87">
        <f t="shared" si="21"/>
        <v>0.67841745067986348</v>
      </c>
      <c r="O61" s="245"/>
      <c r="P61" s="462"/>
      <c r="Q61" s="461"/>
      <c r="R61" s="462"/>
      <c r="S61" s="66"/>
      <c r="T61" s="66"/>
      <c r="U61" s="66"/>
      <c r="V61" s="66"/>
      <c r="W61" s="66"/>
      <c r="X61" s="66"/>
      <c r="Y61" s="66"/>
      <c r="Z61" s="66"/>
      <c r="AA61" s="66"/>
    </row>
    <row r="62" spans="1:27" ht="15" hidden="1" x14ac:dyDescent="0.25">
      <c r="A62" s="286"/>
      <c r="B62" s="286"/>
      <c r="C62" s="302" t="s">
        <v>92</v>
      </c>
      <c r="D62" s="297" t="s">
        <v>38</v>
      </c>
      <c r="E62" s="248" t="s">
        <v>38</v>
      </c>
      <c r="F62" s="203" t="str">
        <f>E62</f>
        <v>N/A</v>
      </c>
      <c r="G62" s="297"/>
      <c r="H62" s="87" t="str">
        <f t="shared" si="1"/>
        <v>N/A</v>
      </c>
      <c r="I62" s="309" t="s">
        <v>38</v>
      </c>
      <c r="J62" s="215" t="s">
        <v>38</v>
      </c>
      <c r="K62" s="215" t="str">
        <f t="shared" ref="K62" si="22">J62</f>
        <v>N/A</v>
      </c>
      <c r="L62" s="295" t="s">
        <v>38</v>
      </c>
      <c r="M62" s="295" t="s">
        <v>38</v>
      </c>
      <c r="N62" s="87" t="str">
        <f t="shared" si="21"/>
        <v>N/A</v>
      </c>
      <c r="O62" s="245"/>
      <c r="P62" s="462"/>
      <c r="Q62" s="461"/>
      <c r="R62" s="462"/>
      <c r="S62" s="66"/>
      <c r="T62" s="66"/>
      <c r="U62" s="66"/>
      <c r="V62" s="66"/>
      <c r="W62" s="66"/>
      <c r="X62" s="66"/>
      <c r="Y62" s="66"/>
      <c r="Z62" s="66"/>
      <c r="AA62" s="66"/>
    </row>
    <row r="63" spans="1:27" ht="15" x14ac:dyDescent="0.25">
      <c r="A63" s="285" t="s">
        <v>93</v>
      </c>
      <c r="B63" s="285" t="s">
        <v>94</v>
      </c>
      <c r="C63" s="1" t="s">
        <v>95</v>
      </c>
      <c r="D63" s="297">
        <v>9993.91</v>
      </c>
      <c r="E63" s="251">
        <v>13613</v>
      </c>
      <c r="F63" s="200">
        <f t="shared" si="20"/>
        <v>13613</v>
      </c>
      <c r="G63" s="299">
        <v>17253.91</v>
      </c>
      <c r="H63" s="87">
        <f t="shared" si="1"/>
        <v>0.57922581026561515</v>
      </c>
      <c r="I63" s="309">
        <v>2716976.9400000004</v>
      </c>
      <c r="J63" s="215">
        <f>I63*0.65</f>
        <v>1766035.0110000004</v>
      </c>
      <c r="K63" s="215">
        <f t="shared" si="15"/>
        <v>950941.929</v>
      </c>
      <c r="L63" s="295">
        <v>4686146</v>
      </c>
      <c r="M63" s="295">
        <v>4979985.1900000013</v>
      </c>
      <c r="N63" s="87">
        <f t="shared" si="21"/>
        <v>0.54557932129111408</v>
      </c>
      <c r="O63" s="245"/>
      <c r="P63" s="233"/>
      <c r="Q63" s="461"/>
      <c r="R63" s="462"/>
      <c r="S63" s="66"/>
      <c r="T63" s="66"/>
      <c r="U63" s="66"/>
      <c r="V63" s="66"/>
      <c r="W63" s="66"/>
      <c r="X63" s="66"/>
      <c r="Y63" s="66"/>
      <c r="Z63" s="66"/>
      <c r="AA63" s="66"/>
    </row>
    <row r="64" spans="1:27" ht="15" x14ac:dyDescent="0.25">
      <c r="A64" s="285" t="s">
        <v>96</v>
      </c>
      <c r="B64" s="285" t="s">
        <v>97</v>
      </c>
      <c r="C64" s="1" t="s">
        <v>98</v>
      </c>
      <c r="D64" s="297">
        <v>1550.82</v>
      </c>
      <c r="E64" s="251">
        <v>7550</v>
      </c>
      <c r="F64" s="200">
        <f t="shared" si="20"/>
        <v>7550</v>
      </c>
      <c r="G64" s="299">
        <v>7550.82</v>
      </c>
      <c r="H64" s="87">
        <f t="shared" si="1"/>
        <v>0.20538431587562675</v>
      </c>
      <c r="I64" s="309">
        <v>941533.37</v>
      </c>
      <c r="J64" s="215">
        <v>0</v>
      </c>
      <c r="K64" s="215">
        <f t="shared" si="15"/>
        <v>941533.37</v>
      </c>
      <c r="L64" s="295">
        <v>1570568.9033333333</v>
      </c>
      <c r="M64" s="295">
        <v>1586479.7799999998</v>
      </c>
      <c r="N64" s="87">
        <f t="shared" si="21"/>
        <v>0.59347328712881553</v>
      </c>
      <c r="O64" s="245"/>
      <c r="P64" s="462"/>
      <c r="Q64" s="461"/>
      <c r="R64" s="462"/>
      <c r="S64" s="66"/>
      <c r="T64" s="66"/>
      <c r="U64" s="66"/>
      <c r="V64" s="66"/>
      <c r="W64" s="66"/>
      <c r="X64" s="66"/>
      <c r="Y64" s="66"/>
      <c r="Z64" s="66"/>
      <c r="AA64" s="66"/>
    </row>
    <row r="65" spans="1:27" ht="15" x14ac:dyDescent="0.25">
      <c r="A65" s="285" t="s">
        <v>99</v>
      </c>
      <c r="B65" s="285" t="s">
        <v>100</v>
      </c>
      <c r="C65" s="1" t="s">
        <v>101</v>
      </c>
      <c r="D65" s="297">
        <v>467</v>
      </c>
      <c r="E65" s="251">
        <v>833</v>
      </c>
      <c r="F65" s="200">
        <f t="shared" si="20"/>
        <v>833</v>
      </c>
      <c r="G65" s="299">
        <v>1114</v>
      </c>
      <c r="H65" s="87">
        <f t="shared" si="1"/>
        <v>0.41921005385996407</v>
      </c>
      <c r="I65" s="309">
        <v>291359.12</v>
      </c>
      <c r="J65" s="215">
        <f>I65*0.65</f>
        <v>189383.42800000001</v>
      </c>
      <c r="K65" s="215">
        <f t="shared" si="15"/>
        <v>101975.69199999998</v>
      </c>
      <c r="L65" s="295">
        <v>435778.2781883899</v>
      </c>
      <c r="M65" s="295">
        <v>481386.44865800627</v>
      </c>
      <c r="N65" s="87">
        <f t="shared" si="21"/>
        <v>0.60524994173027014</v>
      </c>
      <c r="O65" s="245"/>
      <c r="P65" s="462"/>
      <c r="Q65" s="461"/>
      <c r="R65" s="462"/>
      <c r="S65" s="66"/>
      <c r="T65" s="66"/>
      <c r="U65" s="66"/>
      <c r="V65" s="66"/>
      <c r="W65" s="66"/>
      <c r="X65" s="66"/>
      <c r="Y65" s="66"/>
      <c r="Z65" s="66"/>
      <c r="AA65" s="66"/>
    </row>
    <row r="66" spans="1:27" ht="15" x14ac:dyDescent="0.25">
      <c r="A66" s="285"/>
      <c r="B66" s="285" t="s">
        <v>102</v>
      </c>
      <c r="C66" s="1" t="s">
        <v>103</v>
      </c>
      <c r="D66" s="297" t="s">
        <v>38</v>
      </c>
      <c r="E66" s="248" t="s">
        <v>38</v>
      </c>
      <c r="F66" s="203" t="str">
        <f>E66</f>
        <v>N/A</v>
      </c>
      <c r="G66" s="297" t="s">
        <v>38</v>
      </c>
      <c r="H66" s="87" t="str">
        <f t="shared" si="1"/>
        <v>N/A</v>
      </c>
      <c r="I66" s="309">
        <v>211254.39999999999</v>
      </c>
      <c r="J66" s="215">
        <f>I66*0.65</f>
        <v>137315.36000000002</v>
      </c>
      <c r="K66" s="215">
        <f t="shared" si="15"/>
        <v>73939.039999999979</v>
      </c>
      <c r="L66" s="295">
        <v>568342.6399999999</v>
      </c>
      <c r="M66" s="295">
        <v>398363.07999999996</v>
      </c>
      <c r="N66" s="87"/>
      <c r="O66" s="245"/>
      <c r="P66" s="233"/>
      <c r="Q66" s="461"/>
      <c r="R66" s="462"/>
      <c r="S66" s="66"/>
      <c r="T66" s="66"/>
      <c r="U66" s="66"/>
      <c r="V66" s="66"/>
      <c r="W66" s="66"/>
      <c r="X66" s="66"/>
      <c r="Y66" s="66"/>
      <c r="Z66" s="66"/>
      <c r="AA66" s="66"/>
    </row>
    <row r="67" spans="1:27" ht="15" x14ac:dyDescent="0.25">
      <c r="A67" s="285" t="s">
        <v>104</v>
      </c>
      <c r="B67" s="285" t="s">
        <v>105</v>
      </c>
      <c r="C67" s="1" t="s">
        <v>106</v>
      </c>
      <c r="D67" s="297">
        <v>39.67</v>
      </c>
      <c r="E67" s="251">
        <v>74</v>
      </c>
      <c r="F67" s="200">
        <f t="shared" ref="F67" si="23">E67</f>
        <v>74</v>
      </c>
      <c r="G67" s="299">
        <v>66.899999999999991</v>
      </c>
      <c r="H67" s="87">
        <f t="shared" si="1"/>
        <v>0.59297458893871458</v>
      </c>
      <c r="I67" s="309">
        <v>19201.850000000006</v>
      </c>
      <c r="J67" s="215">
        <v>0</v>
      </c>
      <c r="K67" s="215">
        <f t="shared" si="15"/>
        <v>19201.850000000006</v>
      </c>
      <c r="L67" s="295">
        <v>23576.089999999993</v>
      </c>
      <c r="M67" s="295">
        <v>25597.686666666676</v>
      </c>
      <c r="N67" s="87">
        <f t="shared" si="21"/>
        <v>0.75014005171821507</v>
      </c>
      <c r="O67" s="245"/>
      <c r="P67" s="462"/>
      <c r="Q67" s="461"/>
      <c r="R67" s="462"/>
      <c r="S67" s="66"/>
      <c r="T67" s="66"/>
      <c r="U67" s="66"/>
      <c r="V67" s="66"/>
      <c r="W67" s="66"/>
      <c r="X67" s="66"/>
      <c r="Y67" s="66"/>
      <c r="Z67" s="66"/>
      <c r="AA67" s="66"/>
    </row>
    <row r="68" spans="1:27" ht="15" x14ac:dyDescent="0.25">
      <c r="A68" s="285"/>
      <c r="B68" s="285" t="s">
        <v>107</v>
      </c>
      <c r="C68" s="1" t="s">
        <v>108</v>
      </c>
      <c r="D68" s="297" t="s">
        <v>38</v>
      </c>
      <c r="E68" s="248" t="s">
        <v>38</v>
      </c>
      <c r="F68" s="84" t="str">
        <f>E68</f>
        <v>N/A</v>
      </c>
      <c r="G68" s="297" t="s">
        <v>38</v>
      </c>
      <c r="H68" s="84" t="str">
        <f>IF(AND(ISNUMBER(G68)=TRUE,G68&lt;&gt;0),D68/G68,"N/A")</f>
        <v>N/A</v>
      </c>
      <c r="I68" s="309">
        <v>1250917.9199999997</v>
      </c>
      <c r="J68" s="215">
        <v>0</v>
      </c>
      <c r="K68" s="215">
        <f>I68-J68</f>
        <v>1250917.9199999997</v>
      </c>
      <c r="L68" s="295">
        <v>1863240.9999999998</v>
      </c>
      <c r="M68" s="295">
        <v>2858690.3499999992</v>
      </c>
      <c r="N68" s="87">
        <f t="shared" si="21"/>
        <v>0.43758426651560917</v>
      </c>
      <c r="O68" s="245"/>
      <c r="P68" s="462"/>
      <c r="Q68" s="461"/>
      <c r="R68" s="462"/>
      <c r="S68" s="66"/>
      <c r="T68" s="66"/>
      <c r="U68" s="66"/>
      <c r="V68" s="66"/>
      <c r="W68" s="66"/>
      <c r="X68" s="66"/>
      <c r="Y68" s="66"/>
      <c r="Z68" s="66"/>
      <c r="AA68" s="66"/>
    </row>
    <row r="69" spans="1:27" ht="20.100000000000001" customHeight="1" x14ac:dyDescent="0.25">
      <c r="A69" s="373"/>
      <c r="B69" s="374"/>
      <c r="C69" s="41" t="s">
        <v>109</v>
      </c>
      <c r="D69" s="292">
        <f>SUM(D57,D60:D68)</f>
        <v>62366.54</v>
      </c>
      <c r="E69" s="220">
        <f>SUM(E57,E60:E68)</f>
        <v>110331.708042</v>
      </c>
      <c r="F69" s="220">
        <f>SUM(F57,F60:F68)</f>
        <v>110331.708042</v>
      </c>
      <c r="G69" s="220">
        <f>SUM(G57,G60:G68)</f>
        <v>107562.66</v>
      </c>
      <c r="H69" s="221">
        <f t="shared" si="1"/>
        <v>0.57981589521865673</v>
      </c>
      <c r="I69" s="310">
        <f>SUM(I57,I60:I68)</f>
        <v>19297465.940000001</v>
      </c>
      <c r="J69" s="222">
        <f>SUM(J57,J60:J68)</f>
        <v>11105778.319999998</v>
      </c>
      <c r="K69" s="222">
        <f>SUM(K57,K60:K68)</f>
        <v>8191687.6199999992</v>
      </c>
      <c r="L69" s="222">
        <f>SUM(L57,L60:L68)</f>
        <v>37983029.649997592</v>
      </c>
      <c r="M69" s="222">
        <f>SUM(M57,M60:M68)</f>
        <v>35328296.271450408</v>
      </c>
      <c r="N69" s="88">
        <f>I69/M69</f>
        <v>0.54623256643130902</v>
      </c>
      <c r="O69" s="245"/>
      <c r="P69" s="233"/>
      <c r="Q69" s="461"/>
      <c r="R69" s="462"/>
      <c r="S69" s="66"/>
      <c r="T69" s="66"/>
      <c r="U69" s="66"/>
      <c r="V69" s="66"/>
      <c r="W69" s="66"/>
      <c r="X69" s="66"/>
      <c r="Y69" s="66"/>
      <c r="Z69" s="66"/>
      <c r="AA69" s="66"/>
    </row>
    <row r="70" spans="1:27" ht="20.100000000000001" customHeight="1" x14ac:dyDescent="0.25">
      <c r="A70" s="375"/>
      <c r="B70" s="376"/>
      <c r="C70" s="291" t="s">
        <v>110</v>
      </c>
      <c r="D70" s="205"/>
      <c r="E70" s="205"/>
      <c r="F70" s="205"/>
      <c r="G70" s="205"/>
      <c r="H70" s="199"/>
      <c r="I70" s="212"/>
      <c r="J70" s="17"/>
      <c r="K70" s="17"/>
      <c r="L70" s="17"/>
      <c r="M70" s="17"/>
      <c r="N70" s="18"/>
      <c r="O70" s="245"/>
      <c r="P70" s="462"/>
      <c r="Q70" s="461"/>
      <c r="R70" s="462"/>
      <c r="S70" s="66"/>
      <c r="T70" s="66"/>
      <c r="U70" s="66"/>
      <c r="V70" s="66"/>
      <c r="W70" s="66"/>
      <c r="X70" s="66"/>
      <c r="Y70" s="66"/>
      <c r="Z70" s="66"/>
      <c r="AA70" s="66"/>
    </row>
    <row r="71" spans="1:27" ht="15" x14ac:dyDescent="0.25">
      <c r="A71" s="377"/>
      <c r="B71" s="378"/>
      <c r="C71" s="1" t="s">
        <v>111</v>
      </c>
      <c r="D71" s="290">
        <f>D83</f>
        <v>79421</v>
      </c>
      <c r="E71" s="200">
        <f>E83</f>
        <v>93451</v>
      </c>
      <c r="F71" s="200">
        <f t="shared" ref="F71:F78" si="24">E71</f>
        <v>93451</v>
      </c>
      <c r="G71" s="201">
        <f>G83</f>
        <v>103001</v>
      </c>
      <c r="H71" s="86">
        <f t="shared" ref="H71:H90" si="25">IF(AND(ISNUMBER(G71)=TRUE,G71&lt;&gt;0),D71/G71,"N/A")</f>
        <v>0.77107018378462344</v>
      </c>
      <c r="I71" s="306">
        <f>I83</f>
        <v>4655154.1000000006</v>
      </c>
      <c r="J71" s="214">
        <f>J83</f>
        <v>3025850.1650000005</v>
      </c>
      <c r="K71" s="215">
        <f>K83</f>
        <v>1629303.9350000001</v>
      </c>
      <c r="L71" s="215">
        <f>L83</f>
        <v>6259879.9600000009</v>
      </c>
      <c r="M71" s="215">
        <f>M83</f>
        <v>6208638.5600000015</v>
      </c>
      <c r="N71" s="87">
        <f t="shared" ref="N71:N80" si="26">IF(M71=0,"N/A",I71/M71)</f>
        <v>0.74978661666528057</v>
      </c>
      <c r="O71" s="245"/>
      <c r="P71" s="462"/>
      <c r="Q71" s="461"/>
      <c r="R71" s="462"/>
      <c r="S71" s="66"/>
      <c r="T71" s="66"/>
      <c r="U71" s="66"/>
      <c r="V71" s="66"/>
      <c r="W71" s="66"/>
      <c r="X71" s="66"/>
      <c r="Y71" s="66"/>
      <c r="Z71" s="66"/>
      <c r="AA71" s="66"/>
    </row>
    <row r="72" spans="1:27" ht="15" x14ac:dyDescent="0.25">
      <c r="A72" s="377"/>
      <c r="B72" s="378"/>
      <c r="C72" s="1" t="s">
        <v>112</v>
      </c>
      <c r="D72" s="290">
        <f>D84+D97+D96</f>
        <v>11105</v>
      </c>
      <c r="E72" s="200">
        <f>E84+E97+E96</f>
        <v>14309</v>
      </c>
      <c r="F72" s="200">
        <f t="shared" si="24"/>
        <v>14309</v>
      </c>
      <c r="G72" s="201">
        <f>G84+G96+G97</f>
        <v>14975</v>
      </c>
      <c r="H72" s="86">
        <f t="shared" si="25"/>
        <v>0.74156928213689477</v>
      </c>
      <c r="I72" s="306">
        <f>I84+I96+I97</f>
        <v>21112204.569999997</v>
      </c>
      <c r="J72" s="214">
        <f>J84+J96+J97</f>
        <v>13722932.970499998</v>
      </c>
      <c r="K72" s="215">
        <f>K84+K96+K97</f>
        <v>7389271.5994999986</v>
      </c>
      <c r="L72" s="215">
        <f>L84+L96+L97</f>
        <v>32319013.030044571</v>
      </c>
      <c r="M72" s="215">
        <f>M84+M96+M97</f>
        <v>32081242.34</v>
      </c>
      <c r="N72" s="87">
        <f t="shared" si="26"/>
        <v>0.6580856297973402</v>
      </c>
      <c r="O72" s="245"/>
      <c r="P72" s="233"/>
      <c r="Q72" s="461"/>
      <c r="R72" s="462"/>
      <c r="S72" s="66"/>
      <c r="T72" s="66"/>
      <c r="U72" s="66"/>
      <c r="V72" s="66"/>
      <c r="W72" s="66"/>
      <c r="X72" s="66"/>
      <c r="Y72" s="66"/>
      <c r="Z72" s="66"/>
      <c r="AA72" s="66"/>
    </row>
    <row r="73" spans="1:27" ht="15" x14ac:dyDescent="0.25">
      <c r="A73" s="377"/>
      <c r="B73" s="378"/>
      <c r="C73" s="1" t="s">
        <v>113</v>
      </c>
      <c r="D73" s="290">
        <f>D85+D98+D99</f>
        <v>23560</v>
      </c>
      <c r="E73" s="200">
        <f>E85+E98+E99</f>
        <v>33860</v>
      </c>
      <c r="F73" s="200">
        <f t="shared" si="24"/>
        <v>33860</v>
      </c>
      <c r="G73" s="201">
        <f>G98+G99+G85</f>
        <v>33113</v>
      </c>
      <c r="H73" s="86">
        <f t="shared" si="25"/>
        <v>0.71150303506175827</v>
      </c>
      <c r="I73" s="306">
        <f>I98+I99+I85</f>
        <v>24986095.669999998</v>
      </c>
      <c r="J73" s="214">
        <f>J98+J99+J85</f>
        <v>16240962.1855</v>
      </c>
      <c r="K73" s="215">
        <f>K98+K99+K85</f>
        <v>8745133.4844999984</v>
      </c>
      <c r="L73" s="215">
        <f>L98+L99+L85</f>
        <v>35329333.753200002</v>
      </c>
      <c r="M73" s="215">
        <f>M98+M99+M85</f>
        <v>36495581.004007988</v>
      </c>
      <c r="N73" s="87">
        <f t="shared" si="26"/>
        <v>0.68463345376679974</v>
      </c>
      <c r="O73" s="245"/>
      <c r="P73" s="462"/>
      <c r="Q73" s="461"/>
      <c r="R73" s="462"/>
      <c r="S73" s="66"/>
      <c r="T73" s="66"/>
      <c r="U73" s="66"/>
      <c r="V73" s="66"/>
      <c r="W73" s="66"/>
      <c r="X73" s="66"/>
      <c r="Y73" s="66"/>
      <c r="Z73" s="66"/>
      <c r="AA73" s="66"/>
    </row>
    <row r="74" spans="1:27" ht="15" x14ac:dyDescent="0.25">
      <c r="A74" s="375"/>
      <c r="B74" s="376"/>
      <c r="C74" s="1" t="s">
        <v>114</v>
      </c>
      <c r="D74" s="290">
        <f>D86+D100</f>
        <v>257580.03999999998</v>
      </c>
      <c r="E74" s="200">
        <f>E100+E86</f>
        <v>203465</v>
      </c>
      <c r="F74" s="200">
        <f t="shared" si="24"/>
        <v>203465</v>
      </c>
      <c r="G74" s="201">
        <f>G86+G100</f>
        <v>333519.20999999996</v>
      </c>
      <c r="H74" s="86">
        <f t="shared" si="25"/>
        <v>0.77230945707744991</v>
      </c>
      <c r="I74" s="306">
        <f t="shared" ref="I74:M75" si="27">I86+I100</f>
        <v>24335168.219999999</v>
      </c>
      <c r="J74" s="214">
        <f t="shared" si="27"/>
        <v>15817859.342999998</v>
      </c>
      <c r="K74" s="215">
        <f t="shared" si="27"/>
        <v>8517308.8769999985</v>
      </c>
      <c r="L74" s="215">
        <f t="shared" si="27"/>
        <v>35353710</v>
      </c>
      <c r="M74" s="215">
        <f t="shared" si="27"/>
        <v>33868070.589999996</v>
      </c>
      <c r="N74" s="87">
        <f t="shared" si="26"/>
        <v>0.71852833055052401</v>
      </c>
      <c r="O74" s="245"/>
      <c r="P74" s="462"/>
      <c r="Q74" s="461"/>
      <c r="R74" s="462"/>
      <c r="S74" s="66"/>
      <c r="T74" s="66"/>
      <c r="U74" s="66"/>
      <c r="V74" s="66"/>
      <c r="W74" s="66"/>
      <c r="X74" s="66"/>
      <c r="Y74" s="66"/>
      <c r="Z74" s="66"/>
      <c r="AA74" s="66"/>
    </row>
    <row r="75" spans="1:27" ht="15" x14ac:dyDescent="0.25">
      <c r="A75" s="375"/>
      <c r="B75" s="376"/>
      <c r="C75" s="1" t="s">
        <v>115</v>
      </c>
      <c r="D75" s="290">
        <f>D87+D101</f>
        <v>212795.34000000003</v>
      </c>
      <c r="E75" s="200">
        <f>E87+E101</f>
        <v>260360.18</v>
      </c>
      <c r="F75" s="200">
        <f t="shared" si="24"/>
        <v>260360.18</v>
      </c>
      <c r="G75" s="200">
        <f>G87+G101</f>
        <v>263771.93</v>
      </c>
      <c r="H75" s="86">
        <f t="shared" si="25"/>
        <v>0.80673989836598625</v>
      </c>
      <c r="I75" s="307">
        <f t="shared" si="27"/>
        <v>12968888.049999997</v>
      </c>
      <c r="J75" s="215">
        <f t="shared" si="27"/>
        <v>8429777.2324999999</v>
      </c>
      <c r="K75" s="215">
        <f t="shared" si="27"/>
        <v>4539110.817499999</v>
      </c>
      <c r="L75" s="215">
        <f t="shared" si="27"/>
        <v>15928440.27</v>
      </c>
      <c r="M75" s="215">
        <f t="shared" si="27"/>
        <v>16196465.619999999</v>
      </c>
      <c r="N75" s="87">
        <f t="shared" si="26"/>
        <v>0.80072334015796209</v>
      </c>
      <c r="O75" s="245"/>
      <c r="P75" s="233"/>
      <c r="Q75" s="461"/>
      <c r="R75" s="462"/>
      <c r="S75" s="66"/>
      <c r="T75" s="66"/>
      <c r="U75" s="66"/>
      <c r="V75" s="66"/>
      <c r="W75" s="66"/>
      <c r="X75" s="66"/>
      <c r="Y75" s="66"/>
      <c r="Z75" s="66"/>
      <c r="AA75" s="66"/>
    </row>
    <row r="76" spans="1:27" ht="15" x14ac:dyDescent="0.25">
      <c r="A76" s="375"/>
      <c r="B76" s="376"/>
      <c r="C76" s="1" t="s">
        <v>116</v>
      </c>
      <c r="D76" s="290">
        <f>D102</f>
        <v>1881.3700000000001</v>
      </c>
      <c r="E76" s="200">
        <f>E102</f>
        <v>2895</v>
      </c>
      <c r="F76" s="200">
        <f t="shared" si="24"/>
        <v>2895</v>
      </c>
      <c r="G76" s="200">
        <f>G102</f>
        <v>3361.1600000000008</v>
      </c>
      <c r="H76" s="86">
        <f t="shared" si="25"/>
        <v>0.55973830463292429</v>
      </c>
      <c r="I76" s="307">
        <f>I102</f>
        <v>1492210.21</v>
      </c>
      <c r="J76" s="215">
        <f>J102</f>
        <v>969936.63650000002</v>
      </c>
      <c r="K76" s="215">
        <f>K102</f>
        <v>522273.57349999994</v>
      </c>
      <c r="L76" s="215">
        <f>L102</f>
        <v>1737537</v>
      </c>
      <c r="M76" s="215">
        <f>M102</f>
        <v>2211908.41</v>
      </c>
      <c r="N76" s="87">
        <f t="shared" si="26"/>
        <v>0.67462567765181558</v>
      </c>
      <c r="O76" s="245"/>
      <c r="P76" s="462"/>
      <c r="Q76" s="461"/>
      <c r="R76" s="462"/>
      <c r="S76" s="66"/>
      <c r="T76" s="66"/>
      <c r="U76" s="66"/>
      <c r="V76" s="66"/>
      <c r="W76" s="66"/>
      <c r="X76" s="66"/>
      <c r="Y76" s="66"/>
      <c r="Z76" s="66"/>
      <c r="AA76" s="66"/>
    </row>
    <row r="77" spans="1:27" ht="15" x14ac:dyDescent="0.25">
      <c r="A77" s="375"/>
      <c r="B77" s="376"/>
      <c r="C77" s="1" t="s">
        <v>117</v>
      </c>
      <c r="D77" s="290">
        <f>D88</f>
        <v>155.13</v>
      </c>
      <c r="E77" s="200">
        <f>E88</f>
        <v>226</v>
      </c>
      <c r="F77" s="200">
        <f t="shared" si="24"/>
        <v>226</v>
      </c>
      <c r="G77" s="200">
        <f>G88</f>
        <v>297.24</v>
      </c>
      <c r="H77" s="86">
        <f t="shared" si="25"/>
        <v>0.52190149374243033</v>
      </c>
      <c r="I77" s="307">
        <f t="shared" ref="I77:M78" si="28">I88</f>
        <v>115889.39</v>
      </c>
      <c r="J77" s="215">
        <f t="shared" si="28"/>
        <v>75328.103499999997</v>
      </c>
      <c r="K77" s="215">
        <f t="shared" si="28"/>
        <v>40561.286500000002</v>
      </c>
      <c r="L77" s="215">
        <f t="shared" si="28"/>
        <v>185700</v>
      </c>
      <c r="M77" s="215">
        <f t="shared" si="28"/>
        <v>187250.58000000002</v>
      </c>
      <c r="N77" s="87">
        <f t="shared" si="26"/>
        <v>0.61890003224556089</v>
      </c>
      <c r="O77" s="245"/>
      <c r="P77" s="462"/>
      <c r="Q77" s="461"/>
      <c r="R77" s="462"/>
      <c r="S77" s="66"/>
      <c r="T77" s="66"/>
      <c r="U77" s="66"/>
      <c r="V77" s="66"/>
      <c r="W77" s="66"/>
      <c r="X77" s="66"/>
      <c r="Y77" s="66"/>
      <c r="Z77" s="66"/>
      <c r="AA77" s="66"/>
    </row>
    <row r="78" spans="1:27" ht="27" x14ac:dyDescent="0.25">
      <c r="A78" s="375"/>
      <c r="B78" s="376"/>
      <c r="C78" s="1" t="s">
        <v>118</v>
      </c>
      <c r="D78" s="290">
        <f>D89</f>
        <v>19401</v>
      </c>
      <c r="E78" s="200">
        <f>E89</f>
        <v>18516</v>
      </c>
      <c r="F78" s="200">
        <f t="shared" si="24"/>
        <v>18516</v>
      </c>
      <c r="G78" s="200">
        <f>G89</f>
        <v>23777</v>
      </c>
      <c r="H78" s="86">
        <f t="shared" si="25"/>
        <v>0.81595659671110732</v>
      </c>
      <c r="I78" s="307">
        <f t="shared" si="28"/>
        <v>2782708.1399999997</v>
      </c>
      <c r="J78" s="215">
        <f>J89</f>
        <v>1808760.2909999997</v>
      </c>
      <c r="K78" s="215">
        <f>K89</f>
        <v>973947.84899999993</v>
      </c>
      <c r="L78" s="215">
        <f t="shared" si="28"/>
        <v>3349555.25</v>
      </c>
      <c r="M78" s="215">
        <f t="shared" si="28"/>
        <v>4118513.53</v>
      </c>
      <c r="N78" s="87">
        <f t="shared" si="26"/>
        <v>0.67565837036354226</v>
      </c>
      <c r="O78" s="245"/>
      <c r="P78" s="233"/>
      <c r="Q78" s="461"/>
      <c r="R78" s="462"/>
      <c r="S78" s="66"/>
      <c r="T78" s="66"/>
      <c r="U78" s="66"/>
      <c r="V78" s="66"/>
      <c r="W78" s="66"/>
      <c r="X78" s="66"/>
      <c r="Y78" s="66"/>
      <c r="Z78" s="66"/>
      <c r="AA78" s="66"/>
    </row>
    <row r="79" spans="1:27" ht="15" x14ac:dyDescent="0.25">
      <c r="A79" s="375"/>
      <c r="B79" s="376"/>
      <c r="C79" s="1" t="s">
        <v>36</v>
      </c>
      <c r="D79" s="290">
        <f>D103</f>
        <v>2944.1039600000004</v>
      </c>
      <c r="E79" s="290">
        <f t="shared" ref="E79:H79" si="29">E103</f>
        <v>8545</v>
      </c>
      <c r="F79" s="290">
        <f t="shared" si="29"/>
        <v>8545</v>
      </c>
      <c r="G79" s="290">
        <f t="shared" si="29"/>
        <v>5683.0253799999991</v>
      </c>
      <c r="H79" s="434">
        <f t="shared" si="29"/>
        <v>0.51805222801943585</v>
      </c>
      <c r="I79" s="307">
        <f>I93+I103+I92+I104</f>
        <v>13493159.569999998</v>
      </c>
      <c r="J79" s="215">
        <f t="shared" ref="J79:M79" si="30">J93+J103+J92+J104</f>
        <v>8770553.7204999998</v>
      </c>
      <c r="K79" s="215">
        <f t="shared" si="30"/>
        <v>4722605.8495000005</v>
      </c>
      <c r="L79" s="215">
        <f t="shared" si="30"/>
        <v>19587433.25</v>
      </c>
      <c r="M79" s="215">
        <f t="shared" si="30"/>
        <v>20847575.224505544</v>
      </c>
      <c r="N79" s="87">
        <f t="shared" si="26"/>
        <v>0.6472292064997226</v>
      </c>
      <c r="O79" s="245"/>
      <c r="P79" s="462"/>
      <c r="Q79" s="461"/>
      <c r="R79" s="462"/>
      <c r="S79" s="66"/>
      <c r="T79" s="66"/>
      <c r="U79" s="66"/>
      <c r="V79" s="66"/>
      <c r="W79" s="66"/>
      <c r="X79" s="66"/>
      <c r="Y79" s="66"/>
      <c r="Z79" s="66"/>
      <c r="AA79" s="66"/>
    </row>
    <row r="80" spans="1:27" ht="15" x14ac:dyDescent="0.25">
      <c r="A80" s="375"/>
      <c r="B80" s="376"/>
      <c r="C80" s="1" t="s">
        <v>119</v>
      </c>
      <c r="D80" s="290" t="str">
        <f>IF(AND(D94&lt;&gt;"N/A",D105&lt;&gt;"N/A"),D94+D105,"N/A")</f>
        <v>N/A</v>
      </c>
      <c r="E80" s="200" t="str">
        <f>IF(AND(E94&lt;&gt;"N/A",E105&lt;&gt;"N/A"),E94+E105,"N/A")</f>
        <v>N/A</v>
      </c>
      <c r="F80" s="200" t="str">
        <f t="shared" ref="F80:G80" si="31">E80</f>
        <v>N/A</v>
      </c>
      <c r="G80" s="200" t="str">
        <f t="shared" si="31"/>
        <v>N/A</v>
      </c>
      <c r="H80" s="86" t="str">
        <f t="shared" si="25"/>
        <v>N/A</v>
      </c>
      <c r="I80" s="307">
        <f>I90+I105</f>
        <v>394767.23222899996</v>
      </c>
      <c r="J80" s="215">
        <f>J94+J105</f>
        <v>17013308.514948852</v>
      </c>
      <c r="K80" s="215">
        <f>K94+K105</f>
        <v>9161012.27728015</v>
      </c>
      <c r="L80" s="215">
        <f>L90+L105</f>
        <v>1898759</v>
      </c>
      <c r="M80" s="215">
        <f>M90+M105</f>
        <v>5150049.5322289998</v>
      </c>
      <c r="N80" s="87">
        <f t="shared" si="26"/>
        <v>7.6653094258326532E-2</v>
      </c>
      <c r="O80" s="245"/>
      <c r="P80" s="462"/>
      <c r="Q80" s="461"/>
      <c r="R80" s="462"/>
      <c r="S80" s="66"/>
      <c r="T80" s="66"/>
      <c r="U80" s="66"/>
      <c r="V80" s="66"/>
      <c r="W80" s="66"/>
      <c r="X80" s="66"/>
      <c r="Y80" s="66"/>
      <c r="Z80" s="66"/>
      <c r="AA80" s="66"/>
    </row>
    <row r="81" spans="1:27" ht="31.35" customHeight="1" x14ac:dyDescent="0.25">
      <c r="A81" s="375"/>
      <c r="B81" s="376"/>
      <c r="C81" s="2" t="s">
        <v>120</v>
      </c>
      <c r="D81" s="293">
        <f>SUM(D71:D80)</f>
        <v>608842.98395999998</v>
      </c>
      <c r="E81" s="202">
        <f>SUM(E71:E79)</f>
        <v>635627.17999999993</v>
      </c>
      <c r="F81" s="202">
        <f>SUM(F71:F79)</f>
        <v>635627.17999999993</v>
      </c>
      <c r="G81" s="202">
        <f>SUM(G71:G79)</f>
        <v>781498.56537999993</v>
      </c>
      <c r="H81" s="85">
        <f t="shared" si="25"/>
        <v>0.77907114732060068</v>
      </c>
      <c r="I81" s="308">
        <f>SUM(I71:I80)</f>
        <v>106336245.15222898</v>
      </c>
      <c r="J81" s="216">
        <f>SUM(J71:J80)</f>
        <v>85875269.162948847</v>
      </c>
      <c r="K81" s="216">
        <f>SUM(,K71:K80)</f>
        <v>46240529.549280152</v>
      </c>
      <c r="L81" s="216">
        <f>SUM(,L71:L80)</f>
        <v>151949361.51324457</v>
      </c>
      <c r="M81" s="216">
        <f>SUM(,M71:M80)</f>
        <v>157365295.39074254</v>
      </c>
      <c r="N81" s="190">
        <f>I81/M81</f>
        <v>0.67572869156565329</v>
      </c>
      <c r="O81" s="245"/>
      <c r="P81" s="233"/>
      <c r="Q81" s="461"/>
      <c r="R81" s="462"/>
      <c r="S81" s="66"/>
      <c r="T81" s="66"/>
      <c r="U81" s="66"/>
      <c r="V81" s="66"/>
      <c r="W81" s="66"/>
      <c r="X81" s="66"/>
      <c r="Y81" s="66"/>
      <c r="Z81" s="66"/>
      <c r="AA81" s="66"/>
    </row>
    <row r="82" spans="1:27" ht="20.100000000000001" customHeight="1" x14ac:dyDescent="0.25">
      <c r="A82" s="379"/>
      <c r="B82" s="380"/>
      <c r="C82" s="294" t="s">
        <v>121</v>
      </c>
      <c r="D82" s="207"/>
      <c r="E82" s="207"/>
      <c r="F82" s="207"/>
      <c r="G82" s="207"/>
      <c r="H82" s="207"/>
      <c r="I82" s="207"/>
      <c r="J82" s="197"/>
      <c r="K82" s="197"/>
      <c r="L82" s="197"/>
      <c r="M82" s="197"/>
      <c r="N82" s="198"/>
      <c r="O82" s="461"/>
      <c r="P82" s="463"/>
      <c r="Q82" s="461"/>
      <c r="R82" s="462"/>
      <c r="S82" s="66"/>
      <c r="T82" s="66"/>
      <c r="U82" s="66"/>
      <c r="V82" s="66"/>
      <c r="W82" s="66"/>
      <c r="X82" s="66"/>
      <c r="Y82" s="66"/>
      <c r="Z82" s="66"/>
      <c r="AA82" s="66"/>
    </row>
    <row r="83" spans="1:27" ht="15" x14ac:dyDescent="0.25">
      <c r="A83" s="361" t="s">
        <v>122</v>
      </c>
      <c r="B83" s="392" t="s">
        <v>659</v>
      </c>
      <c r="C83" s="493" t="s">
        <v>124</v>
      </c>
      <c r="D83" s="297">
        <v>79421</v>
      </c>
      <c r="E83" s="204">
        <v>93451</v>
      </c>
      <c r="F83" s="203">
        <f t="shared" ref="F83:F90" si="32">E83</f>
        <v>93451</v>
      </c>
      <c r="G83" s="299">
        <v>103001</v>
      </c>
      <c r="H83" s="87">
        <f t="shared" si="25"/>
        <v>0.77107018378462344</v>
      </c>
      <c r="I83" s="492">
        <v>4655154.1000000006</v>
      </c>
      <c r="J83" s="215">
        <f t="shared" ref="J83:J90" si="33">I83*0.65</f>
        <v>3025850.1650000005</v>
      </c>
      <c r="K83" s="215">
        <f t="shared" ref="K83:K88" si="34">I83-J83</f>
        <v>1629303.9350000001</v>
      </c>
      <c r="L83" s="295">
        <v>6259879.9600000009</v>
      </c>
      <c r="M83" s="494">
        <v>6208638.5600000015</v>
      </c>
      <c r="N83" s="87">
        <f t="shared" ref="N83:N93" si="35">IF(M83=0,"N/A",I83/M83)</f>
        <v>0.74978661666528057</v>
      </c>
      <c r="O83" s="461"/>
      <c r="P83" s="462"/>
      <c r="Q83" s="461"/>
      <c r="R83" s="462"/>
      <c r="S83" s="66"/>
      <c r="T83" s="66"/>
      <c r="U83" s="66"/>
      <c r="V83" s="66"/>
      <c r="W83" s="66"/>
      <c r="X83" s="66"/>
      <c r="Y83" s="66"/>
      <c r="Z83" s="66"/>
      <c r="AA83" s="66"/>
    </row>
    <row r="84" spans="1:27" ht="27" x14ac:dyDescent="0.25">
      <c r="A84" s="285" t="s">
        <v>125</v>
      </c>
      <c r="B84" s="285" t="s">
        <v>126</v>
      </c>
      <c r="C84" s="1" t="s">
        <v>127</v>
      </c>
      <c r="D84" s="297">
        <v>515</v>
      </c>
      <c r="E84" s="204">
        <v>1706</v>
      </c>
      <c r="F84" s="203">
        <f t="shared" si="32"/>
        <v>1706</v>
      </c>
      <c r="G84" s="299">
        <v>804</v>
      </c>
      <c r="H84" s="87">
        <f>IF(AND(ISNUMBER(G84)=TRUE,G84&lt;&gt;0),D84/G84,"N/A")</f>
        <v>0.64054726368159209</v>
      </c>
      <c r="I84" s="309">
        <v>307964.46000000002</v>
      </c>
      <c r="J84" s="215">
        <f t="shared" si="33"/>
        <v>200176.89900000003</v>
      </c>
      <c r="K84" s="215">
        <f t="shared" si="34"/>
        <v>107787.56099999999</v>
      </c>
      <c r="L84" s="295">
        <v>574086.42142455769</v>
      </c>
      <c r="M84" s="295">
        <v>488016.51</v>
      </c>
      <c r="N84" s="87">
        <f t="shared" si="35"/>
        <v>0.63105336333805595</v>
      </c>
      <c r="O84" s="245"/>
      <c r="P84" s="462"/>
      <c r="Q84" s="461"/>
      <c r="R84" s="462"/>
      <c r="S84" s="66"/>
      <c r="T84" s="66"/>
      <c r="U84" s="66"/>
      <c r="V84" s="66"/>
      <c r="W84" s="66"/>
      <c r="X84" s="66"/>
      <c r="Y84" s="66"/>
      <c r="Z84" s="66"/>
      <c r="AA84" s="66"/>
    </row>
    <row r="85" spans="1:27" ht="15" x14ac:dyDescent="0.25">
      <c r="A85" s="285" t="s">
        <v>128</v>
      </c>
      <c r="B85" s="285" t="s">
        <v>129</v>
      </c>
      <c r="C85" s="1" t="s">
        <v>130</v>
      </c>
      <c r="D85" s="297">
        <v>2741</v>
      </c>
      <c r="E85" s="204">
        <v>8200</v>
      </c>
      <c r="F85" s="203">
        <f t="shared" si="32"/>
        <v>8200</v>
      </c>
      <c r="G85" s="299">
        <v>4920</v>
      </c>
      <c r="H85" s="87">
        <f t="shared" si="25"/>
        <v>0.5571138211382114</v>
      </c>
      <c r="I85" s="309">
        <v>1651033.29</v>
      </c>
      <c r="J85" s="215">
        <f t="shared" si="33"/>
        <v>1073171.6385000001</v>
      </c>
      <c r="K85" s="215">
        <f t="shared" si="34"/>
        <v>577861.65149999992</v>
      </c>
      <c r="L85" s="295">
        <v>4107264.7532000006</v>
      </c>
      <c r="M85" s="295">
        <v>2792688.7710377667</v>
      </c>
      <c r="N85" s="87">
        <f t="shared" si="35"/>
        <v>0.59119845616970557</v>
      </c>
      <c r="O85" s="245"/>
      <c r="P85" s="233"/>
      <c r="Q85" s="461"/>
      <c r="R85" s="462"/>
      <c r="S85" s="66"/>
      <c r="T85" s="66"/>
      <c r="U85" s="66"/>
      <c r="V85" s="66"/>
      <c r="W85" s="66"/>
      <c r="X85" s="66"/>
      <c r="Y85" s="66"/>
      <c r="Z85" s="66"/>
      <c r="AA85" s="66"/>
    </row>
    <row r="86" spans="1:27" ht="40.5" x14ac:dyDescent="0.25">
      <c r="A86" s="392" t="s">
        <v>131</v>
      </c>
      <c r="B86" s="392" t="s">
        <v>132</v>
      </c>
      <c r="C86" s="1" t="s">
        <v>133</v>
      </c>
      <c r="D86" s="297">
        <v>111833.04</v>
      </c>
      <c r="E86" s="204">
        <v>65483</v>
      </c>
      <c r="F86" s="203">
        <f t="shared" si="32"/>
        <v>65483</v>
      </c>
      <c r="G86" s="299">
        <v>136927.21</v>
      </c>
      <c r="H86" s="87">
        <f t="shared" si="25"/>
        <v>0.81673350388136878</v>
      </c>
      <c r="I86" s="309">
        <v>8142179.3300000001</v>
      </c>
      <c r="J86" s="215">
        <f t="shared" si="33"/>
        <v>5292416.5645000003</v>
      </c>
      <c r="K86" s="215">
        <f t="shared" si="34"/>
        <v>2849762.7654999997</v>
      </c>
      <c r="L86" s="295">
        <v>12959483</v>
      </c>
      <c r="M86" s="295">
        <v>11132478.59</v>
      </c>
      <c r="N86" s="87">
        <f t="shared" si="35"/>
        <v>0.73138962398848861</v>
      </c>
      <c r="O86" s="245"/>
      <c r="P86" s="462"/>
      <c r="Q86" s="461"/>
      <c r="R86" s="462"/>
      <c r="S86" s="66"/>
      <c r="T86" s="66"/>
      <c r="U86" s="66"/>
      <c r="V86" s="66"/>
      <c r="W86" s="66"/>
      <c r="X86" s="66"/>
      <c r="Y86" s="66"/>
      <c r="Z86" s="66"/>
      <c r="AA86" s="66"/>
    </row>
    <row r="87" spans="1:27" ht="15" x14ac:dyDescent="0.25">
      <c r="A87" s="285" t="s">
        <v>134</v>
      </c>
      <c r="B87" s="285" t="s">
        <v>135</v>
      </c>
      <c r="C87" s="1" t="s">
        <v>136</v>
      </c>
      <c r="D87" s="297">
        <v>3334.6399999999994</v>
      </c>
      <c r="E87" s="204">
        <v>4974</v>
      </c>
      <c r="F87" s="203">
        <f t="shared" si="32"/>
        <v>4974</v>
      </c>
      <c r="G87" s="299">
        <v>3744.4999999999995</v>
      </c>
      <c r="H87" s="87">
        <f t="shared" si="25"/>
        <v>0.89054346374682869</v>
      </c>
      <c r="I87" s="309">
        <v>908261.95000000019</v>
      </c>
      <c r="J87" s="215">
        <f t="shared" si="33"/>
        <v>590370.26750000019</v>
      </c>
      <c r="K87" s="215">
        <f t="shared" si="34"/>
        <v>317891.6825</v>
      </c>
      <c r="L87" s="295">
        <v>924958</v>
      </c>
      <c r="M87" s="295">
        <v>938394.75000000023</v>
      </c>
      <c r="N87" s="87">
        <f t="shared" si="35"/>
        <v>0.96788899341135481</v>
      </c>
      <c r="O87" s="245"/>
      <c r="P87" s="462"/>
      <c r="Q87" s="461"/>
      <c r="R87" s="462"/>
      <c r="S87" s="66"/>
      <c r="T87" s="66"/>
      <c r="U87" s="66"/>
      <c r="V87" s="66"/>
      <c r="W87" s="66"/>
      <c r="X87" s="66"/>
      <c r="Y87" s="66"/>
      <c r="Z87" s="66"/>
      <c r="AA87" s="66"/>
    </row>
    <row r="88" spans="1:27" ht="15" x14ac:dyDescent="0.25">
      <c r="A88" s="285" t="s">
        <v>137</v>
      </c>
      <c r="B88" s="285" t="s">
        <v>138</v>
      </c>
      <c r="C88" s="1" t="s">
        <v>139</v>
      </c>
      <c r="D88" s="297">
        <v>155.13</v>
      </c>
      <c r="E88" s="204">
        <v>226</v>
      </c>
      <c r="F88" s="203">
        <f t="shared" si="32"/>
        <v>226</v>
      </c>
      <c r="G88" s="299">
        <v>297.24</v>
      </c>
      <c r="H88" s="87">
        <f t="shared" si="25"/>
        <v>0.52190149374243033</v>
      </c>
      <c r="I88" s="309">
        <v>115889.39</v>
      </c>
      <c r="J88" s="215">
        <f t="shared" si="33"/>
        <v>75328.103499999997</v>
      </c>
      <c r="K88" s="215">
        <f t="shared" si="34"/>
        <v>40561.286500000002</v>
      </c>
      <c r="L88" s="295">
        <v>185700</v>
      </c>
      <c r="M88" s="295">
        <v>187250.58000000002</v>
      </c>
      <c r="N88" s="87">
        <f t="shared" si="35"/>
        <v>0.61890003224556089</v>
      </c>
      <c r="O88" s="245"/>
      <c r="P88" s="462"/>
      <c r="Q88" s="461"/>
      <c r="R88" s="462"/>
      <c r="S88" s="66"/>
      <c r="T88" s="66"/>
      <c r="U88" s="66"/>
      <c r="V88" s="66"/>
      <c r="W88" s="66"/>
      <c r="X88" s="66"/>
      <c r="Y88" s="66"/>
      <c r="Z88" s="66"/>
      <c r="AA88" s="66"/>
    </row>
    <row r="89" spans="1:27" ht="27" x14ac:dyDescent="0.25">
      <c r="A89" s="285" t="s">
        <v>140</v>
      </c>
      <c r="B89" s="285" t="s">
        <v>141</v>
      </c>
      <c r="C89" s="1" t="s">
        <v>118</v>
      </c>
      <c r="D89" s="297">
        <v>19401</v>
      </c>
      <c r="E89" s="204">
        <v>18516</v>
      </c>
      <c r="F89" s="203">
        <f t="shared" si="32"/>
        <v>18516</v>
      </c>
      <c r="G89" s="299">
        <v>23777</v>
      </c>
      <c r="H89" s="87">
        <f t="shared" si="25"/>
        <v>0.81595659671110732</v>
      </c>
      <c r="I89" s="309">
        <v>2782708.1399999997</v>
      </c>
      <c r="J89" s="215">
        <f t="shared" si="33"/>
        <v>1808760.2909999997</v>
      </c>
      <c r="K89" s="215">
        <f>I89-J89</f>
        <v>973947.84899999993</v>
      </c>
      <c r="L89" s="295">
        <v>3349555.25</v>
      </c>
      <c r="M89" s="295">
        <v>4118513.53</v>
      </c>
      <c r="N89" s="87">
        <f t="shared" si="35"/>
        <v>0.67565837036354226</v>
      </c>
      <c r="O89" s="245"/>
      <c r="P89" s="462"/>
      <c r="Q89" s="461"/>
      <c r="R89" s="462"/>
      <c r="S89" s="113"/>
      <c r="T89" s="66"/>
      <c r="U89" s="66"/>
      <c r="V89" s="66"/>
      <c r="W89" s="66"/>
      <c r="X89" s="66"/>
      <c r="Y89" s="66"/>
      <c r="Z89" s="66"/>
      <c r="AA89" s="66"/>
    </row>
    <row r="90" spans="1:27" ht="15" x14ac:dyDescent="0.25">
      <c r="A90" s="386"/>
      <c r="B90" s="285" t="s">
        <v>142</v>
      </c>
      <c r="C90" s="1" t="s">
        <v>142</v>
      </c>
      <c r="D90" s="297" t="s">
        <v>38</v>
      </c>
      <c r="E90" s="248" t="s">
        <v>38</v>
      </c>
      <c r="F90" s="203" t="str">
        <f t="shared" si="32"/>
        <v>N/A</v>
      </c>
      <c r="G90" s="299" t="s">
        <v>38</v>
      </c>
      <c r="H90" s="87" t="str">
        <f t="shared" si="25"/>
        <v>N/A</v>
      </c>
      <c r="I90" s="309">
        <v>175056.12999999998</v>
      </c>
      <c r="J90" s="215">
        <f t="shared" si="33"/>
        <v>113786.48449999999</v>
      </c>
      <c r="K90" s="215">
        <f>I90-J90</f>
        <v>61269.645499999984</v>
      </c>
      <c r="L90" s="295">
        <v>457500</v>
      </c>
      <c r="M90" s="295">
        <v>3754126.3</v>
      </c>
      <c r="N90" s="87">
        <f t="shared" si="35"/>
        <v>4.6630325143829067E-2</v>
      </c>
      <c r="O90" s="245"/>
      <c r="P90" s="462"/>
      <c r="Q90" s="461"/>
      <c r="R90" s="462"/>
      <c r="S90" s="113"/>
      <c r="T90" s="66"/>
      <c r="U90" s="66"/>
      <c r="V90" s="66"/>
      <c r="W90" s="66"/>
      <c r="X90" s="66"/>
      <c r="Y90" s="66"/>
      <c r="Z90" s="66"/>
      <c r="AA90" s="66"/>
    </row>
    <row r="91" spans="1:27" ht="15" x14ac:dyDescent="0.25">
      <c r="A91" s="415" t="s">
        <v>143</v>
      </c>
      <c r="B91" s="393"/>
      <c r="C91" s="1" t="s">
        <v>144</v>
      </c>
      <c r="D91" s="297" t="s">
        <v>38</v>
      </c>
      <c r="E91" s="248" t="s">
        <v>38</v>
      </c>
      <c r="F91" s="203" t="str">
        <f t="shared" ref="F91" si="36">E91</f>
        <v>N/A</v>
      </c>
      <c r="G91" s="299" t="s">
        <v>38</v>
      </c>
      <c r="H91" s="87" t="str">
        <f>IF(AND(ISNUMBER(G91)=TRUE,G91&lt;&gt;0),D91/G91,"N/A")</f>
        <v>N/A</v>
      </c>
      <c r="I91" s="296" t="s">
        <v>38</v>
      </c>
      <c r="J91" s="90" t="s">
        <v>38</v>
      </c>
      <c r="K91" s="90" t="s">
        <v>38</v>
      </c>
      <c r="L91" s="296" t="s">
        <v>38</v>
      </c>
      <c r="M91" s="296" t="s">
        <v>38</v>
      </c>
      <c r="N91" s="188" t="s">
        <v>38</v>
      </c>
      <c r="O91" s="245"/>
      <c r="P91" s="462"/>
      <c r="Q91" s="461"/>
      <c r="R91" s="462"/>
      <c r="S91" s="113"/>
      <c r="T91" s="66"/>
      <c r="U91" s="66"/>
      <c r="V91" s="66"/>
      <c r="W91" s="66"/>
      <c r="X91" s="66"/>
      <c r="Y91" s="66"/>
      <c r="Z91" s="66"/>
      <c r="AA91" s="66"/>
    </row>
    <row r="92" spans="1:27" ht="15" x14ac:dyDescent="0.25">
      <c r="A92" s="415" t="s">
        <v>145</v>
      </c>
      <c r="B92" s="285" t="s">
        <v>146</v>
      </c>
      <c r="C92" s="1" t="s">
        <v>147</v>
      </c>
      <c r="D92" s="297" t="s">
        <v>38</v>
      </c>
      <c r="E92" s="248" t="s">
        <v>38</v>
      </c>
      <c r="F92" s="203" t="str">
        <f t="shared" ref="F92:F93" si="37">E92</f>
        <v>N/A</v>
      </c>
      <c r="G92" s="299" t="s">
        <v>38</v>
      </c>
      <c r="H92" s="87" t="str">
        <f>IF(AND(ISNUMBER(G92)=TRUE,G92&lt;&gt;0),D92/G92,"N/A")</f>
        <v>N/A</v>
      </c>
      <c r="I92" s="309">
        <v>366534.18</v>
      </c>
      <c r="J92" s="215">
        <f>I92*0.65</f>
        <v>238247.217</v>
      </c>
      <c r="K92" s="215">
        <f>I92-J92</f>
        <v>128286.96299999999</v>
      </c>
      <c r="L92" s="295">
        <v>742800</v>
      </c>
      <c r="M92" s="295">
        <v>725549.44</v>
      </c>
      <c r="N92" s="87">
        <f t="shared" si="35"/>
        <v>0.50518153525140896</v>
      </c>
      <c r="O92" s="245"/>
      <c r="P92" s="462"/>
      <c r="Q92" s="461"/>
      <c r="R92" s="462"/>
      <c r="S92" s="113"/>
      <c r="T92" s="66"/>
      <c r="U92" s="66"/>
      <c r="V92" s="66"/>
      <c r="W92" s="66"/>
      <c r="X92" s="66"/>
      <c r="Y92" s="66"/>
      <c r="Z92" s="66"/>
      <c r="AA92" s="66"/>
    </row>
    <row r="93" spans="1:27" ht="27" x14ac:dyDescent="0.25">
      <c r="A93" s="415" t="s">
        <v>148</v>
      </c>
      <c r="B93" s="288" t="s">
        <v>149</v>
      </c>
      <c r="C93" s="1" t="s">
        <v>150</v>
      </c>
      <c r="D93" s="297" t="s">
        <v>38</v>
      </c>
      <c r="E93" s="248" t="s">
        <v>38</v>
      </c>
      <c r="F93" s="203" t="str">
        <f t="shared" si="37"/>
        <v>N/A</v>
      </c>
      <c r="G93" s="299" t="s">
        <v>38</v>
      </c>
      <c r="H93" s="87" t="str">
        <f>IF(AND(ISNUMBER(G93)=TRUE,G93&lt;&gt;0),D93/G93,"N/A")</f>
        <v>N/A</v>
      </c>
      <c r="I93" s="309">
        <v>6849828.7199999997</v>
      </c>
      <c r="J93" s="215">
        <f>I93*0.65</f>
        <v>4452388.6679999996</v>
      </c>
      <c r="K93" s="215">
        <f>I93-J93</f>
        <v>2397440.0520000001</v>
      </c>
      <c r="L93" s="295">
        <v>6643062.25</v>
      </c>
      <c r="M93" s="295">
        <v>8618952.3300000019</v>
      </c>
      <c r="N93" s="87">
        <f t="shared" si="35"/>
        <v>0.79474029530918622</v>
      </c>
      <c r="O93" s="245"/>
      <c r="P93" s="462"/>
      <c r="Q93" s="461"/>
      <c r="R93" s="462"/>
      <c r="S93" s="113"/>
      <c r="T93" s="66"/>
      <c r="U93" s="66"/>
      <c r="V93" s="66"/>
      <c r="W93" s="66"/>
      <c r="X93" s="66"/>
      <c r="Y93" s="66"/>
      <c r="Z93" s="66"/>
      <c r="AA93" s="66"/>
    </row>
    <row r="94" spans="1:27" ht="20.100000000000001" customHeight="1" x14ac:dyDescent="0.25">
      <c r="A94" s="416"/>
      <c r="B94" s="382"/>
      <c r="C94" s="287" t="s">
        <v>151</v>
      </c>
      <c r="D94" s="206">
        <f>SUM(D83:D93)</f>
        <v>217400.81</v>
      </c>
      <c r="E94" s="202">
        <f>SUM(E83:E93)</f>
        <v>192556</v>
      </c>
      <c r="F94" s="202">
        <f>SUM(F83:F93)</f>
        <v>192556</v>
      </c>
      <c r="G94" s="202">
        <f>SUM(G83:G93)</f>
        <v>273470.94999999995</v>
      </c>
      <c r="H94" s="85">
        <f>IF(AND(ISNUMBER(G94)=TRUE,G94&lt;&gt;0),D94/G94,"N/A")</f>
        <v>0.79496856978775998</v>
      </c>
      <c r="I94" s="308">
        <f>SUM(I83:I93)</f>
        <v>25954609.689999998</v>
      </c>
      <c r="J94" s="216">
        <f>SUM(J83:J93)</f>
        <v>16870496.298500001</v>
      </c>
      <c r="K94" s="216">
        <f>SUM(K83:K93)</f>
        <v>9084113.3914999999</v>
      </c>
      <c r="L94" s="216">
        <f>SUM(L83:L93)</f>
        <v>36204289.634624556</v>
      </c>
      <c r="M94" s="216">
        <f>SUM(M83:M93)</f>
        <v>38964609.361037776</v>
      </c>
      <c r="N94" s="190">
        <f>I94/M94</f>
        <v>0.66610727312854878</v>
      </c>
      <c r="O94" s="245"/>
      <c r="P94" s="462"/>
      <c r="Q94" s="461"/>
      <c r="R94" s="462"/>
      <c r="S94" s="66"/>
      <c r="T94" s="66"/>
      <c r="U94" s="66"/>
      <c r="V94" s="66"/>
      <c r="W94" s="66"/>
      <c r="X94" s="66"/>
      <c r="Y94" s="66"/>
      <c r="Z94" s="66"/>
      <c r="AA94" s="66"/>
    </row>
    <row r="95" spans="1:27" ht="20.100000000000001" customHeight="1" x14ac:dyDescent="0.25">
      <c r="A95" s="417"/>
      <c r="B95" s="383"/>
      <c r="C95" s="197" t="s">
        <v>152</v>
      </c>
      <c r="D95" s="207"/>
      <c r="E95" s="207"/>
      <c r="F95" s="207"/>
      <c r="G95" s="207"/>
      <c r="H95" s="207"/>
      <c r="I95" s="207"/>
      <c r="J95" s="197"/>
      <c r="K95" s="197"/>
      <c r="L95" s="197"/>
      <c r="M95" s="197"/>
      <c r="N95" s="198"/>
      <c r="O95" s="245"/>
      <c r="P95" s="462"/>
      <c r="Q95" s="461"/>
      <c r="R95" s="462"/>
      <c r="S95" s="66"/>
      <c r="T95" s="66"/>
      <c r="U95" s="66"/>
      <c r="V95" s="66"/>
      <c r="W95" s="66"/>
      <c r="X95" s="66"/>
      <c r="Y95" s="66"/>
      <c r="Z95" s="66"/>
      <c r="AA95" s="66"/>
    </row>
    <row r="96" spans="1:27" ht="44.1" customHeight="1" x14ac:dyDescent="0.25">
      <c r="A96" s="418" t="s">
        <v>153</v>
      </c>
      <c r="B96" s="289" t="s">
        <v>154</v>
      </c>
      <c r="C96" s="1" t="s">
        <v>155</v>
      </c>
      <c r="D96" s="297">
        <v>3144</v>
      </c>
      <c r="E96" s="297">
        <v>5095</v>
      </c>
      <c r="F96" s="209">
        <f t="shared" ref="F96:F105" si="38">E96</f>
        <v>5095</v>
      </c>
      <c r="G96" s="299">
        <v>4414</v>
      </c>
      <c r="H96" s="89">
        <f t="shared" ref="H96:H106" si="39">IF(AND(ISNUMBER(G96)=TRUE,G96&lt;&gt;0),D96/G96,"N/A")</f>
        <v>0.71227911191662896</v>
      </c>
      <c r="I96" s="309">
        <v>16781459.459999997</v>
      </c>
      <c r="J96" s="217">
        <f t="shared" ref="J96:J105" si="40">I96*0.65</f>
        <v>10907948.648999998</v>
      </c>
      <c r="K96" s="217">
        <f t="shared" ref="K96:K105" si="41">I96-J96</f>
        <v>5873510.8109999988</v>
      </c>
      <c r="L96" s="295">
        <v>27200000.162481137</v>
      </c>
      <c r="M96" s="295">
        <v>26280443.809999999</v>
      </c>
      <c r="N96" s="89">
        <f t="shared" ref="N96:N105" si="42">I96/M96</f>
        <v>0.63855312266889752</v>
      </c>
      <c r="O96" s="245"/>
      <c r="P96" s="462"/>
      <c r="Q96" s="461"/>
      <c r="R96" s="462"/>
      <c r="S96" s="66"/>
      <c r="T96" s="66"/>
      <c r="U96" s="66"/>
      <c r="V96" s="66"/>
      <c r="W96" s="66"/>
      <c r="X96" s="66"/>
      <c r="Y96" s="66"/>
      <c r="Z96" s="66"/>
      <c r="AA96" s="66"/>
    </row>
    <row r="97" spans="1:27" ht="27" x14ac:dyDescent="0.25">
      <c r="A97" s="285" t="s">
        <v>156</v>
      </c>
      <c r="B97" s="285" t="s">
        <v>157</v>
      </c>
      <c r="C97" s="1" t="s">
        <v>158</v>
      </c>
      <c r="D97" s="297">
        <v>7446</v>
      </c>
      <c r="E97" s="208">
        <v>7508</v>
      </c>
      <c r="F97" s="209">
        <f t="shared" si="38"/>
        <v>7508</v>
      </c>
      <c r="G97" s="299">
        <v>9757</v>
      </c>
      <c r="H97" s="89">
        <f t="shared" si="39"/>
        <v>0.76314440914215431</v>
      </c>
      <c r="I97" s="309">
        <v>4022780.65</v>
      </c>
      <c r="J97" s="217">
        <f t="shared" si="40"/>
        <v>2614807.4224999999</v>
      </c>
      <c r="K97" s="217">
        <f t="shared" si="41"/>
        <v>1407973.2275</v>
      </c>
      <c r="L97" s="295">
        <v>4544926.4461388774</v>
      </c>
      <c r="M97" s="295">
        <v>5312782.0199999996</v>
      </c>
      <c r="N97" s="89">
        <f t="shared" si="42"/>
        <v>0.75718910259374805</v>
      </c>
      <c r="O97" s="245"/>
      <c r="P97" s="462"/>
      <c r="Q97" s="461"/>
      <c r="R97" s="462"/>
      <c r="S97" s="66"/>
      <c r="T97" s="66"/>
      <c r="U97" s="66"/>
      <c r="V97" s="66"/>
      <c r="W97" s="66"/>
      <c r="X97" s="66"/>
      <c r="Y97" s="66"/>
      <c r="Z97" s="66"/>
      <c r="AA97" s="66"/>
    </row>
    <row r="98" spans="1:27" ht="15" x14ac:dyDescent="0.25">
      <c r="A98" s="418" t="s">
        <v>159</v>
      </c>
      <c r="B98" s="392" t="s">
        <v>160</v>
      </c>
      <c r="C98" s="1" t="s">
        <v>161</v>
      </c>
      <c r="D98" s="297">
        <v>19959</v>
      </c>
      <c r="E98" s="208">
        <v>23277</v>
      </c>
      <c r="F98" s="209">
        <f t="shared" si="38"/>
        <v>23277</v>
      </c>
      <c r="G98" s="299">
        <v>27252</v>
      </c>
      <c r="H98" s="89">
        <f t="shared" si="39"/>
        <v>0.73238661382650816</v>
      </c>
      <c r="I98" s="309">
        <v>22352333.219999999</v>
      </c>
      <c r="J98" s="217">
        <f t="shared" si="40"/>
        <v>14529016.593</v>
      </c>
      <c r="K98" s="217">
        <f t="shared" si="41"/>
        <v>7823316.6269999985</v>
      </c>
      <c r="L98" s="295">
        <v>29349880</v>
      </c>
      <c r="M98" s="295">
        <v>31865461.971111819</v>
      </c>
      <c r="N98" s="89">
        <f t="shared" si="42"/>
        <v>0.70145956899240591</v>
      </c>
      <c r="O98" s="245"/>
      <c r="P98" s="462"/>
      <c r="Q98" s="461"/>
      <c r="R98" s="462"/>
      <c r="S98" s="66"/>
      <c r="T98" s="66"/>
      <c r="U98" s="66"/>
      <c r="V98" s="66"/>
      <c r="W98" s="66"/>
      <c r="X98" s="66"/>
      <c r="Y98" s="66"/>
      <c r="Z98" s="66"/>
      <c r="AA98" s="66"/>
    </row>
    <row r="99" spans="1:27" ht="15" x14ac:dyDescent="0.25">
      <c r="A99" s="285" t="s">
        <v>162</v>
      </c>
      <c r="B99" s="285" t="s">
        <v>163</v>
      </c>
      <c r="C99" s="1" t="s">
        <v>164</v>
      </c>
      <c r="D99" s="297">
        <v>860</v>
      </c>
      <c r="E99" s="208">
        <v>2383</v>
      </c>
      <c r="F99" s="209">
        <f t="shared" si="38"/>
        <v>2383</v>
      </c>
      <c r="G99" s="299">
        <v>941</v>
      </c>
      <c r="H99" s="89">
        <f t="shared" si="39"/>
        <v>0.91392136025504778</v>
      </c>
      <c r="I99" s="309">
        <v>982729.16</v>
      </c>
      <c r="J99" s="217">
        <f t="shared" si="40"/>
        <v>638773.95400000003</v>
      </c>
      <c r="K99" s="217">
        <f t="shared" si="41"/>
        <v>343955.20600000001</v>
      </c>
      <c r="L99" s="295">
        <v>1872189</v>
      </c>
      <c r="M99" s="295">
        <v>1837430.2618584</v>
      </c>
      <c r="N99" s="89">
        <f t="shared" si="42"/>
        <v>0.53483888907220645</v>
      </c>
      <c r="O99" s="245"/>
      <c r="P99" s="462"/>
      <c r="Q99" s="461"/>
      <c r="R99" s="462"/>
      <c r="S99" s="66"/>
      <c r="T99" s="66"/>
      <c r="U99" s="66"/>
      <c r="V99" s="66"/>
      <c r="W99" s="66"/>
      <c r="X99" s="66"/>
      <c r="Y99" s="66"/>
      <c r="Z99" s="66"/>
      <c r="AA99" s="66"/>
    </row>
    <row r="100" spans="1:27" ht="15" x14ac:dyDescent="0.25">
      <c r="A100" s="427" t="s">
        <v>642</v>
      </c>
      <c r="B100" s="285" t="s">
        <v>166</v>
      </c>
      <c r="C100" s="83" t="s">
        <v>413</v>
      </c>
      <c r="D100" s="297">
        <v>145747</v>
      </c>
      <c r="E100" s="208">
        <v>137982</v>
      </c>
      <c r="F100" s="209">
        <f t="shared" si="38"/>
        <v>137982</v>
      </c>
      <c r="G100" s="299">
        <v>196592</v>
      </c>
      <c r="H100" s="89">
        <f t="shared" si="39"/>
        <v>0.74136790917229589</v>
      </c>
      <c r="I100" s="309">
        <v>16192988.889999997</v>
      </c>
      <c r="J100" s="217">
        <f t="shared" si="40"/>
        <v>10525442.778499998</v>
      </c>
      <c r="K100" s="217">
        <f t="shared" si="41"/>
        <v>5667546.1114999987</v>
      </c>
      <c r="L100" s="295">
        <v>22394227</v>
      </c>
      <c r="M100" s="295">
        <v>22735591.999999996</v>
      </c>
      <c r="N100" s="89">
        <f t="shared" si="42"/>
        <v>0.71223080049993859</v>
      </c>
      <c r="O100" s="245"/>
      <c r="P100" s="462"/>
      <c r="Q100" s="461"/>
      <c r="R100" s="462"/>
      <c r="S100" s="66"/>
      <c r="T100" s="66"/>
      <c r="U100" s="66"/>
      <c r="V100" s="66"/>
      <c r="W100" s="66"/>
      <c r="X100" s="66"/>
      <c r="Y100" s="66"/>
      <c r="Z100" s="66"/>
      <c r="AA100" s="66"/>
    </row>
    <row r="101" spans="1:27" ht="15" x14ac:dyDescent="0.25">
      <c r="A101" s="392" t="s">
        <v>168</v>
      </c>
      <c r="B101" s="285" t="s">
        <v>169</v>
      </c>
      <c r="C101" s="1" t="s">
        <v>169</v>
      </c>
      <c r="D101" s="297">
        <v>209460.7</v>
      </c>
      <c r="E101" s="208">
        <v>255386.18</v>
      </c>
      <c r="F101" s="209">
        <f t="shared" si="38"/>
        <v>255386.18</v>
      </c>
      <c r="G101" s="299">
        <v>260027.43000000002</v>
      </c>
      <c r="H101" s="89">
        <f t="shared" si="39"/>
        <v>0.80553309318174626</v>
      </c>
      <c r="I101" s="309">
        <v>12060626.099999998</v>
      </c>
      <c r="J101" s="217">
        <f t="shared" si="40"/>
        <v>7839406.9649999989</v>
      </c>
      <c r="K101" s="217">
        <f t="shared" si="41"/>
        <v>4221219.1349999988</v>
      </c>
      <c r="L101" s="295">
        <v>15003482.27</v>
      </c>
      <c r="M101" s="295">
        <v>15258070.869999999</v>
      </c>
      <c r="N101" s="89">
        <f t="shared" si="42"/>
        <v>0.79044239620837453</v>
      </c>
      <c r="O101" s="245"/>
      <c r="P101" s="462"/>
      <c r="Q101" s="461"/>
      <c r="R101" s="462"/>
      <c r="S101" s="66"/>
      <c r="T101" s="66"/>
      <c r="U101" s="66"/>
      <c r="V101" s="66"/>
      <c r="W101" s="66"/>
      <c r="X101" s="66"/>
      <c r="Y101" s="66"/>
      <c r="Z101" s="66"/>
      <c r="AA101" s="66"/>
    </row>
    <row r="102" spans="1:27" ht="15" x14ac:dyDescent="0.25">
      <c r="A102" s="285" t="s">
        <v>170</v>
      </c>
      <c r="B102" s="285" t="s">
        <v>171</v>
      </c>
      <c r="C102" s="1" t="s">
        <v>171</v>
      </c>
      <c r="D102" s="297">
        <v>1881.3700000000001</v>
      </c>
      <c r="E102" s="208">
        <v>2895</v>
      </c>
      <c r="F102" s="209">
        <f t="shared" si="38"/>
        <v>2895</v>
      </c>
      <c r="G102" s="299">
        <v>3361.1600000000008</v>
      </c>
      <c r="H102" s="89">
        <f t="shared" si="39"/>
        <v>0.55973830463292429</v>
      </c>
      <c r="I102" s="309">
        <v>1492210.21</v>
      </c>
      <c r="J102" s="217">
        <f t="shared" si="40"/>
        <v>969936.63650000002</v>
      </c>
      <c r="K102" s="217">
        <f t="shared" si="41"/>
        <v>522273.57349999994</v>
      </c>
      <c r="L102" s="295">
        <v>1737537</v>
      </c>
      <c r="M102" s="295">
        <v>2211908.41</v>
      </c>
      <c r="N102" s="89">
        <f t="shared" si="42"/>
        <v>0.67462567765181558</v>
      </c>
      <c r="O102" s="245"/>
      <c r="P102" s="462"/>
      <c r="Q102" s="461"/>
      <c r="R102" s="462"/>
      <c r="S102" s="66"/>
      <c r="T102" s="66"/>
      <c r="U102" s="66"/>
      <c r="V102" s="66"/>
      <c r="W102" s="66"/>
      <c r="X102" s="66"/>
      <c r="Y102" s="66"/>
      <c r="Z102" s="66"/>
      <c r="AA102" s="66"/>
    </row>
    <row r="103" spans="1:27" ht="29.65" customHeight="1" x14ac:dyDescent="0.25">
      <c r="A103" s="367" t="s">
        <v>172</v>
      </c>
      <c r="B103" s="392" t="s">
        <v>173</v>
      </c>
      <c r="C103" s="1" t="s">
        <v>174</v>
      </c>
      <c r="D103" s="297">
        <v>2944.1039600000004</v>
      </c>
      <c r="E103" s="297">
        <v>8545</v>
      </c>
      <c r="F103" s="209">
        <f t="shared" ref="F103" si="43">E103</f>
        <v>8545</v>
      </c>
      <c r="G103" s="299">
        <v>5683.0253799999991</v>
      </c>
      <c r="H103" s="89">
        <f t="shared" si="39"/>
        <v>0.51805222801943585</v>
      </c>
      <c r="I103" s="309">
        <v>5188945.0699999994</v>
      </c>
      <c r="J103" s="217">
        <f t="shared" si="40"/>
        <v>3372814.2954999995</v>
      </c>
      <c r="K103" s="217">
        <f t="shared" si="41"/>
        <v>1816130.7744999998</v>
      </c>
      <c r="L103" s="295">
        <v>9483013</v>
      </c>
      <c r="M103" s="295">
        <v>9096146.9645055421</v>
      </c>
      <c r="N103" s="89">
        <f t="shared" si="42"/>
        <v>0.5704552807081944</v>
      </c>
      <c r="O103" s="245"/>
      <c r="P103" s="462"/>
      <c r="Q103" s="461"/>
      <c r="R103" s="462"/>
      <c r="S103" s="66"/>
      <c r="T103" s="66"/>
      <c r="U103" s="66"/>
      <c r="V103" s="66"/>
      <c r="W103" s="66"/>
      <c r="X103" s="66"/>
      <c r="Y103" s="66"/>
      <c r="Z103" s="66"/>
      <c r="AA103" s="66"/>
    </row>
    <row r="104" spans="1:27" ht="27" x14ac:dyDescent="0.25">
      <c r="A104" s="415" t="s">
        <v>175</v>
      </c>
      <c r="B104" s="300" t="s">
        <v>176</v>
      </c>
      <c r="C104" s="1" t="s">
        <v>177</v>
      </c>
      <c r="D104" s="297" t="s">
        <v>38</v>
      </c>
      <c r="E104" s="297" t="s">
        <v>38</v>
      </c>
      <c r="F104" s="209" t="str">
        <f t="shared" ref="F104" si="44">E104</f>
        <v>N/A</v>
      </c>
      <c r="G104" s="299" t="s">
        <v>38</v>
      </c>
      <c r="H104" s="89" t="str">
        <f t="shared" si="39"/>
        <v>N/A</v>
      </c>
      <c r="I104" s="309">
        <v>1087851.6000000001</v>
      </c>
      <c r="J104" s="217">
        <f t="shared" si="40"/>
        <v>707103.54</v>
      </c>
      <c r="K104" s="217">
        <f t="shared" si="41"/>
        <v>380748.06000000006</v>
      </c>
      <c r="L104" s="295">
        <v>2718558</v>
      </c>
      <c r="M104" s="295">
        <v>2406926.4900000002</v>
      </c>
      <c r="N104" s="89">
        <f t="shared" si="42"/>
        <v>0.45196710598336554</v>
      </c>
      <c r="O104" s="245"/>
      <c r="P104" s="462"/>
      <c r="Q104" s="461"/>
      <c r="R104" s="462"/>
      <c r="S104" s="66"/>
      <c r="T104" s="66"/>
      <c r="U104" s="66"/>
      <c r="V104" s="66"/>
      <c r="W104" s="66"/>
      <c r="X104" s="66"/>
      <c r="Y104" s="66"/>
      <c r="Z104" s="66"/>
      <c r="AA104" s="66"/>
    </row>
    <row r="105" spans="1:27" ht="15" x14ac:dyDescent="0.25">
      <c r="A105" s="419"/>
      <c r="B105" s="288" t="s">
        <v>178</v>
      </c>
      <c r="C105" s="1" t="s">
        <v>179</v>
      </c>
      <c r="D105" s="297" t="s">
        <v>38</v>
      </c>
      <c r="E105" s="297" t="s">
        <v>38</v>
      </c>
      <c r="F105" s="209" t="str">
        <f t="shared" si="38"/>
        <v>N/A</v>
      </c>
      <c r="G105" s="299" t="s">
        <v>38</v>
      </c>
      <c r="H105" s="89" t="str">
        <f t="shared" si="39"/>
        <v>N/A</v>
      </c>
      <c r="I105" s="309">
        <v>219711.10222899998</v>
      </c>
      <c r="J105" s="217">
        <f t="shared" si="40"/>
        <v>142812.21644885</v>
      </c>
      <c r="K105" s="217">
        <f t="shared" si="41"/>
        <v>76898.885780149983</v>
      </c>
      <c r="L105" s="295">
        <v>1441259</v>
      </c>
      <c r="M105" s="295">
        <v>1395923.232229</v>
      </c>
      <c r="N105" s="89">
        <f t="shared" si="42"/>
        <v>0.15739483171876645</v>
      </c>
      <c r="O105" s="245"/>
      <c r="P105" s="462"/>
      <c r="Q105" s="461"/>
      <c r="R105" s="462"/>
      <c r="S105" s="66"/>
      <c r="T105" s="66"/>
      <c r="U105" s="66"/>
      <c r="V105" s="66"/>
      <c r="W105" s="66"/>
      <c r="X105" s="66"/>
      <c r="Y105" s="66"/>
      <c r="Z105" s="66"/>
      <c r="AA105" s="66"/>
    </row>
    <row r="106" spans="1:27" ht="20.100000000000001" customHeight="1" x14ac:dyDescent="0.25">
      <c r="A106" s="420"/>
      <c r="B106" s="373"/>
      <c r="C106" s="287" t="s">
        <v>180</v>
      </c>
      <c r="D106" s="210">
        <f>SUM(D96:D105)</f>
        <v>391442.17395999999</v>
      </c>
      <c r="E106" s="211">
        <f>SUM(E96:E105)</f>
        <v>443071.18</v>
      </c>
      <c r="F106" s="211">
        <f>SUM(F96:F105)</f>
        <v>443071.18</v>
      </c>
      <c r="G106" s="211">
        <f>SUM(G96:G105)</f>
        <v>508027.61538000003</v>
      </c>
      <c r="H106" s="91">
        <f t="shared" si="39"/>
        <v>0.77051357467488224</v>
      </c>
      <c r="I106" s="308">
        <f>SUM(I96:I105)</f>
        <v>80381635.462228969</v>
      </c>
      <c r="J106" s="218">
        <f>SUM(J96:J105)</f>
        <v>52248063.05044885</v>
      </c>
      <c r="K106" s="218">
        <f>SUM(K96:K105)</f>
        <v>28133572.411780141</v>
      </c>
      <c r="L106" s="218">
        <f>SUM(L96:L105)</f>
        <v>115745071.87862001</v>
      </c>
      <c r="M106" s="218">
        <f>SUM(M96:M105)</f>
        <v>118400686.02970475</v>
      </c>
      <c r="N106" s="189">
        <f>I106/M106</f>
        <v>0.67889501452772461</v>
      </c>
      <c r="O106" s="245"/>
      <c r="P106" s="462"/>
      <c r="Q106" s="461"/>
      <c r="R106" s="462"/>
      <c r="S106" s="66"/>
      <c r="T106" s="66"/>
      <c r="U106" s="66"/>
      <c r="V106" s="66"/>
      <c r="W106" s="66"/>
      <c r="X106" s="66"/>
      <c r="Y106" s="66"/>
      <c r="Z106" s="66"/>
      <c r="AA106" s="66"/>
    </row>
    <row r="107" spans="1:27" ht="20.100000000000001" customHeight="1" x14ac:dyDescent="0.25">
      <c r="A107" s="420"/>
      <c r="B107" s="379"/>
      <c r="C107" s="17" t="s">
        <v>181</v>
      </c>
      <c r="D107" s="212"/>
      <c r="E107" s="212"/>
      <c r="F107" s="212"/>
      <c r="G107" s="212"/>
      <c r="H107" s="212"/>
      <c r="I107" s="212"/>
      <c r="J107" s="17"/>
      <c r="K107" s="17"/>
      <c r="L107" s="17"/>
      <c r="M107" s="17"/>
      <c r="N107" s="223"/>
      <c r="O107" s="245"/>
      <c r="P107" s="462"/>
      <c r="Q107" s="461"/>
      <c r="R107" s="462"/>
      <c r="S107" s="66"/>
      <c r="T107" s="66"/>
      <c r="U107" s="66"/>
      <c r="V107" s="66"/>
      <c r="W107" s="66"/>
      <c r="X107" s="66"/>
      <c r="Y107" s="66"/>
      <c r="Z107" s="66"/>
      <c r="AA107" s="66"/>
    </row>
    <row r="108" spans="1:27" ht="15" x14ac:dyDescent="0.25">
      <c r="A108" s="426" t="s">
        <v>643</v>
      </c>
      <c r="B108" s="289" t="s">
        <v>183</v>
      </c>
      <c r="C108" s="65" t="s">
        <v>184</v>
      </c>
      <c r="D108" s="297">
        <v>2624.94</v>
      </c>
      <c r="E108" s="253">
        <v>3500</v>
      </c>
      <c r="F108" s="213">
        <f>E108</f>
        <v>3500</v>
      </c>
      <c r="G108" s="299">
        <v>3499.9199999999996</v>
      </c>
      <c r="H108" s="89">
        <f t="shared" ref="H108:H115" si="45">IF(AND(ISNUMBER(G108)=TRUE,G108&lt;&gt;0),D108/G108,"N/A")</f>
        <v>0.75000000000000011</v>
      </c>
      <c r="I108" s="309">
        <v>4340353.66</v>
      </c>
      <c r="J108" s="219">
        <v>0</v>
      </c>
      <c r="K108" s="217">
        <f>I108-J108</f>
        <v>4340353.66</v>
      </c>
      <c r="L108" s="295">
        <v>10316736.359999999</v>
      </c>
      <c r="M108" s="295">
        <v>7652565.6299999999</v>
      </c>
      <c r="N108" s="89">
        <f>I108/M108</f>
        <v>0.5671762739263172</v>
      </c>
      <c r="O108" s="245"/>
      <c r="P108" s="462"/>
      <c r="Q108" s="461"/>
      <c r="R108" s="462"/>
      <c r="S108" s="66"/>
      <c r="T108" s="66"/>
      <c r="U108" s="66"/>
      <c r="V108" s="66"/>
      <c r="W108" s="66"/>
      <c r="X108" s="66"/>
      <c r="Y108" s="66"/>
      <c r="Z108" s="66"/>
      <c r="AA108" s="66"/>
    </row>
    <row r="109" spans="1:27" ht="15" x14ac:dyDescent="0.25">
      <c r="A109" s="415" t="s">
        <v>185</v>
      </c>
      <c r="B109" s="384"/>
      <c r="C109" s="65" t="s">
        <v>186</v>
      </c>
      <c r="D109" s="297">
        <v>59112</v>
      </c>
      <c r="E109" s="253">
        <v>119063</v>
      </c>
      <c r="F109" s="213">
        <f>E109</f>
        <v>119063</v>
      </c>
      <c r="G109" s="299">
        <v>119063</v>
      </c>
      <c r="H109" s="89">
        <f t="shared" si="45"/>
        <v>0.49647665521614609</v>
      </c>
      <c r="I109" s="296" t="s">
        <v>38</v>
      </c>
      <c r="J109" s="90" t="s">
        <v>38</v>
      </c>
      <c r="K109" s="90" t="s">
        <v>38</v>
      </c>
      <c r="L109" s="296" t="s">
        <v>38</v>
      </c>
      <c r="M109" s="296" t="s">
        <v>38</v>
      </c>
      <c r="N109" s="188" t="s">
        <v>38</v>
      </c>
      <c r="O109" s="245"/>
      <c r="P109" s="462"/>
      <c r="Q109" s="461"/>
      <c r="R109" s="462"/>
      <c r="S109" s="66"/>
      <c r="T109" s="66"/>
      <c r="U109" s="66"/>
      <c r="V109" s="66"/>
      <c r="W109" s="66"/>
      <c r="X109" s="66"/>
      <c r="Y109" s="66"/>
      <c r="Z109" s="66"/>
      <c r="AA109" s="66"/>
    </row>
    <row r="110" spans="1:27" ht="15" x14ac:dyDescent="0.25">
      <c r="A110" s="416"/>
      <c r="B110" s="285" t="s">
        <v>187</v>
      </c>
      <c r="C110" s="65" t="s">
        <v>188</v>
      </c>
      <c r="D110" s="297" t="s">
        <v>38</v>
      </c>
      <c r="E110" s="298" t="s">
        <v>38</v>
      </c>
      <c r="F110" s="90" t="s">
        <v>38</v>
      </c>
      <c r="G110" s="298" t="s">
        <v>38</v>
      </c>
      <c r="H110" s="90" t="str">
        <f t="shared" si="45"/>
        <v>N/A</v>
      </c>
      <c r="I110" s="309">
        <v>2688.94</v>
      </c>
      <c r="J110" s="219">
        <v>0</v>
      </c>
      <c r="K110" s="219">
        <v>0</v>
      </c>
      <c r="L110" s="295">
        <v>102689</v>
      </c>
      <c r="M110" s="295">
        <v>17689</v>
      </c>
      <c r="N110" s="89">
        <f>I110/M110</f>
        <v>0.15201198484934139</v>
      </c>
      <c r="O110" s="245"/>
      <c r="P110" s="462"/>
      <c r="Q110" s="461"/>
      <c r="R110" s="462"/>
      <c r="S110" s="66"/>
      <c r="T110" s="66"/>
      <c r="U110" s="66"/>
      <c r="V110" s="66"/>
      <c r="W110" s="66"/>
      <c r="X110" s="66"/>
      <c r="Y110" s="66"/>
      <c r="Z110" s="66"/>
      <c r="AA110" s="66"/>
    </row>
    <row r="111" spans="1:27" ht="25.5" x14ac:dyDescent="0.25">
      <c r="A111" s="422"/>
      <c r="B111" s="373"/>
      <c r="C111" s="35" t="s">
        <v>189</v>
      </c>
      <c r="D111" s="211">
        <f>SUM(D108:D110)</f>
        <v>61736.94</v>
      </c>
      <c r="E111" s="211">
        <f>SUM(E108:E110)</f>
        <v>122563</v>
      </c>
      <c r="F111" s="211">
        <f>SUM(F108:F110)</f>
        <v>122563</v>
      </c>
      <c r="G111" s="211">
        <f>SUM(G108:G110)</f>
        <v>122562.92</v>
      </c>
      <c r="H111" s="91">
        <f t="shared" si="45"/>
        <v>0.50371629527103301</v>
      </c>
      <c r="I111" s="225">
        <f>SUM(I108:I110)</f>
        <v>4343042.6000000006</v>
      </c>
      <c r="J111" s="225">
        <f>SUM(J108:J110)</f>
        <v>0</v>
      </c>
      <c r="K111" s="225">
        <f>SUM(K108:K110)</f>
        <v>4340353.66</v>
      </c>
      <c r="L111" s="225">
        <f>SUM(L108:L110)</f>
        <v>10419425.359999999</v>
      </c>
      <c r="M111" s="225">
        <f>SUM(M108:M110)</f>
        <v>7670254.6299999999</v>
      </c>
      <c r="N111" s="189">
        <f>I111/M111</f>
        <v>0.56621882968701398</v>
      </c>
      <c r="O111" s="245"/>
      <c r="P111" s="462"/>
      <c r="Q111" s="66"/>
      <c r="R111" s="66"/>
      <c r="S111" s="66"/>
      <c r="T111" s="66"/>
      <c r="U111" s="66"/>
      <c r="V111" s="66"/>
      <c r="W111" s="66"/>
      <c r="X111" s="66"/>
      <c r="Y111" s="66"/>
      <c r="Z111" s="66"/>
      <c r="AA111" s="66"/>
    </row>
    <row r="112" spans="1:27" ht="20.100000000000001" customHeight="1" x14ac:dyDescent="0.25">
      <c r="A112" s="423"/>
      <c r="B112" s="375"/>
      <c r="C112" s="35" t="s">
        <v>190</v>
      </c>
      <c r="D112" s="211">
        <v>183472</v>
      </c>
      <c r="E112" s="211">
        <v>183472</v>
      </c>
      <c r="F112" s="211">
        <f>E112</f>
        <v>183472</v>
      </c>
      <c r="G112" s="211">
        <v>183472</v>
      </c>
      <c r="H112" s="91">
        <f t="shared" si="45"/>
        <v>1</v>
      </c>
      <c r="I112" s="225" t="s">
        <v>38</v>
      </c>
      <c r="J112" s="225" t="s">
        <v>38</v>
      </c>
      <c r="K112" s="225" t="s">
        <v>38</v>
      </c>
      <c r="L112" s="225" t="s">
        <v>38</v>
      </c>
      <c r="M112" s="225" t="s">
        <v>38</v>
      </c>
      <c r="N112" s="189" t="s">
        <v>38</v>
      </c>
      <c r="O112" s="245"/>
      <c r="P112" s="462"/>
      <c r="Q112" s="66"/>
      <c r="R112" s="66"/>
      <c r="S112" s="66"/>
      <c r="T112" s="66"/>
      <c r="U112" s="66"/>
      <c r="V112" s="66"/>
      <c r="W112" s="66"/>
      <c r="X112" s="66"/>
      <c r="Y112" s="66"/>
      <c r="Z112" s="66"/>
      <c r="AA112" s="66"/>
    </row>
    <row r="113" spans="1:27" ht="20.100000000000001" customHeight="1" x14ac:dyDescent="0.25">
      <c r="A113" s="423"/>
      <c r="B113" s="375"/>
      <c r="C113" s="35" t="s">
        <v>645</v>
      </c>
      <c r="D113" s="211">
        <v>67678.275871900027</v>
      </c>
      <c r="E113" s="211">
        <v>65774.7</v>
      </c>
      <c r="F113" s="211">
        <f>E113</f>
        <v>65774.7</v>
      </c>
      <c r="G113" s="211">
        <v>91736</v>
      </c>
      <c r="H113" s="91">
        <f t="shared" si="45"/>
        <v>0.73775045643912995</v>
      </c>
      <c r="I113" s="225" t="s">
        <v>38</v>
      </c>
      <c r="J113" s="225" t="s">
        <v>38</v>
      </c>
      <c r="K113" s="225" t="s">
        <v>38</v>
      </c>
      <c r="L113" s="225" t="s">
        <v>38</v>
      </c>
      <c r="M113" s="225" t="s">
        <v>38</v>
      </c>
      <c r="N113" s="189" t="s">
        <v>38</v>
      </c>
      <c r="O113" s="245"/>
      <c r="P113" s="462"/>
      <c r="Q113" s="66"/>
      <c r="R113" s="66"/>
      <c r="S113" s="66"/>
      <c r="T113" s="66"/>
      <c r="U113" s="66"/>
      <c r="V113" s="66"/>
      <c r="W113" s="66"/>
      <c r="X113" s="66"/>
      <c r="Y113" s="66"/>
      <c r="Z113" s="66"/>
      <c r="AA113" s="66"/>
    </row>
    <row r="114" spans="1:27" ht="28.35" customHeight="1" x14ac:dyDescent="0.25">
      <c r="A114" s="424" t="s">
        <v>191</v>
      </c>
      <c r="B114" s="375"/>
      <c r="C114" s="35" t="s">
        <v>192</v>
      </c>
      <c r="D114" s="211">
        <v>0</v>
      </c>
      <c r="E114" s="211">
        <v>1035</v>
      </c>
      <c r="F114" s="211">
        <f>E114</f>
        <v>1035</v>
      </c>
      <c r="G114" s="211">
        <v>1035</v>
      </c>
      <c r="H114" s="91">
        <f t="shared" si="45"/>
        <v>0</v>
      </c>
      <c r="I114" s="225" t="s">
        <v>38</v>
      </c>
      <c r="J114" s="225" t="s">
        <v>38</v>
      </c>
      <c r="K114" s="225" t="s">
        <v>38</v>
      </c>
      <c r="L114" s="225" t="s">
        <v>38</v>
      </c>
      <c r="M114" s="225" t="s">
        <v>38</v>
      </c>
      <c r="N114" s="189" t="s">
        <v>38</v>
      </c>
      <c r="O114" s="245"/>
      <c r="P114" s="462"/>
      <c r="Q114" s="66"/>
      <c r="R114" s="66"/>
      <c r="S114" s="66"/>
      <c r="T114" s="66"/>
      <c r="U114" s="66"/>
      <c r="V114" s="66"/>
      <c r="W114" s="66"/>
      <c r="X114" s="66"/>
      <c r="Y114" s="66"/>
      <c r="Z114" s="66"/>
      <c r="AA114" s="66"/>
    </row>
    <row r="115" spans="1:27" ht="20.100000000000001" customHeight="1" x14ac:dyDescent="0.25">
      <c r="A115" s="415" t="s">
        <v>193</v>
      </c>
      <c r="B115" s="379"/>
      <c r="C115" s="35" t="s">
        <v>194</v>
      </c>
      <c r="D115" s="211">
        <v>25705</v>
      </c>
      <c r="E115" s="211">
        <v>37770</v>
      </c>
      <c r="F115" s="211">
        <f>E115</f>
        <v>37770</v>
      </c>
      <c r="G115" s="211">
        <v>41128</v>
      </c>
      <c r="H115" s="91">
        <f t="shared" si="45"/>
        <v>0.625</v>
      </c>
      <c r="I115" s="225" t="s">
        <v>38</v>
      </c>
      <c r="J115" s="225" t="s">
        <v>38</v>
      </c>
      <c r="K115" s="225" t="s">
        <v>38</v>
      </c>
      <c r="L115" s="225" t="s">
        <v>38</v>
      </c>
      <c r="M115" s="225" t="s">
        <v>38</v>
      </c>
      <c r="N115" s="189" t="s">
        <v>38</v>
      </c>
      <c r="O115" s="245"/>
      <c r="P115" s="462"/>
      <c r="Q115" s="66"/>
      <c r="R115" s="66"/>
      <c r="S115" s="66"/>
      <c r="T115" s="66"/>
      <c r="U115" s="66"/>
      <c r="V115" s="66"/>
      <c r="W115" s="66"/>
      <c r="X115" s="66"/>
      <c r="Y115" s="66"/>
      <c r="Z115" s="66"/>
      <c r="AA115" s="66"/>
    </row>
    <row r="116" spans="1:27" s="187" customFormat="1" ht="25.35" customHeight="1" x14ac:dyDescent="0.25">
      <c r="A116" s="385"/>
      <c r="B116" s="184"/>
      <c r="C116" s="185" t="s">
        <v>195</v>
      </c>
      <c r="D116" s="224">
        <f>SUM(D111:D115,D81,D37)</f>
        <v>1363963.6698318999</v>
      </c>
      <c r="E116" s="224">
        <f t="shared" ref="E116:F116" si="46">SUM(E111:E115,E81,E37)</f>
        <v>1786417.5880419998</v>
      </c>
      <c r="F116" s="224">
        <f t="shared" si="46"/>
        <v>1786417.5880419998</v>
      </c>
      <c r="G116" s="224">
        <f>SUM(G111:G115,G81,G37)</f>
        <v>1929651.9053799999</v>
      </c>
      <c r="H116" s="183">
        <f>IF(AND(ISNUMBER(G116)=TRUE,G116&lt;&gt;0),D116/G116,"N/A")</f>
        <v>0.70684441376658513</v>
      </c>
      <c r="I116" s="226">
        <f>SUM(I37,I81,I111)</f>
        <v>237214036.71222892</v>
      </c>
      <c r="J116" s="226">
        <f>SUM(J37,J94,J106,J111,J115,J112)</f>
        <v>144001135.24044883</v>
      </c>
      <c r="K116" s="226">
        <f>SUM(K37,K94,K106,K111,K115,K112)</f>
        <v>93210212.531780124</v>
      </c>
      <c r="L116" s="226">
        <f>SUM(L37,L94,L106,L111,L115,L112)</f>
        <v>397289271.85998243</v>
      </c>
      <c r="M116" s="226">
        <f>SUM(M37,M94,M106,M111,M115,M112)</f>
        <v>391939293.05383927</v>
      </c>
      <c r="N116" s="183">
        <f>I116/M116</f>
        <v>0.60523157773733005</v>
      </c>
      <c r="O116" s="461"/>
      <c r="P116" s="462"/>
      <c r="Q116" s="184"/>
      <c r="R116" s="184"/>
      <c r="S116" s="184"/>
      <c r="T116" s="184"/>
      <c r="U116" s="184"/>
      <c r="V116" s="184"/>
      <c r="W116" s="184"/>
      <c r="X116" s="184"/>
      <c r="Y116" s="184"/>
      <c r="Z116" s="184"/>
      <c r="AA116" s="184"/>
    </row>
    <row r="117" spans="1:27" ht="22.5" customHeight="1" x14ac:dyDescent="0.25">
      <c r="A117" s="385"/>
      <c r="B117" s="390"/>
      <c r="C117" s="148"/>
      <c r="D117" s="149"/>
      <c r="E117" s="195" t="s">
        <v>196</v>
      </c>
      <c r="F117" s="150"/>
      <c r="G117" s="195" t="s">
        <v>196</v>
      </c>
      <c r="H117" s="151"/>
      <c r="I117" s="311"/>
      <c r="J117" s="153"/>
      <c r="K117" s="153"/>
      <c r="L117" s="152"/>
      <c r="M117" s="152"/>
      <c r="N117" s="154"/>
      <c r="O117" s="244"/>
      <c r="P117" s="462"/>
      <c r="Q117" s="66"/>
      <c r="R117" s="66"/>
      <c r="S117" s="66"/>
      <c r="T117" s="66"/>
      <c r="U117" s="66"/>
      <c r="V117" s="66"/>
      <c r="W117" s="66"/>
      <c r="X117" s="66"/>
      <c r="Y117" s="66"/>
      <c r="Z117" s="66"/>
      <c r="AA117" s="66"/>
    </row>
    <row r="118" spans="1:27" ht="22.5" customHeight="1" x14ac:dyDescent="0.25">
      <c r="A118" s="385"/>
      <c r="B118" s="390"/>
      <c r="C118" s="428"/>
      <c r="D118" s="429"/>
      <c r="E118" s="432"/>
      <c r="F118" s="431"/>
      <c r="G118" s="430"/>
      <c r="H118" s="156"/>
      <c r="I118" s="312"/>
      <c r="J118" s="153"/>
      <c r="K118" s="153"/>
      <c r="L118" s="153"/>
      <c r="M118" s="153"/>
      <c r="N118" s="154"/>
      <c r="O118" s="244"/>
      <c r="P118" s="157"/>
      <c r="Q118" s="66"/>
      <c r="R118" s="66"/>
      <c r="S118" s="66"/>
      <c r="T118" s="66"/>
      <c r="U118" s="66"/>
      <c r="V118" s="66"/>
      <c r="W118" s="66"/>
      <c r="X118" s="66"/>
      <c r="Y118" s="66"/>
      <c r="Z118" s="66"/>
      <c r="AA118" s="66"/>
    </row>
    <row r="119" spans="1:27" ht="22.5" customHeight="1" x14ac:dyDescent="0.25">
      <c r="A119" s="390"/>
      <c r="B119" s="390"/>
      <c r="C119" s="149" t="s">
        <v>197</v>
      </c>
      <c r="D119" s="149"/>
      <c r="E119" s="194"/>
      <c r="F119" s="194"/>
      <c r="G119" s="66"/>
      <c r="H119" s="158"/>
      <c r="I119" s="105"/>
      <c r="J119" s="66"/>
      <c r="K119" s="66"/>
      <c r="L119" s="66"/>
      <c r="M119" s="105"/>
      <c r="N119" s="66"/>
      <c r="O119" s="244"/>
      <c r="P119" s="66"/>
      <c r="Q119" s="66"/>
      <c r="R119" s="66"/>
      <c r="S119" s="66"/>
      <c r="T119" s="66"/>
      <c r="U119" s="66"/>
      <c r="V119" s="66"/>
      <c r="W119" s="66"/>
      <c r="X119" s="66"/>
      <c r="Y119" s="66"/>
      <c r="Z119" s="66"/>
      <c r="AA119" s="66"/>
    </row>
    <row r="120" spans="1:27" ht="27.6" customHeight="1" x14ac:dyDescent="0.25">
      <c r="A120" s="390"/>
      <c r="B120" s="390"/>
      <c r="C120" s="510" t="s">
        <v>198</v>
      </c>
      <c r="D120" s="510"/>
      <c r="E120" s="510"/>
      <c r="F120" s="510"/>
      <c r="G120" s="510"/>
      <c r="H120" s="510"/>
      <c r="I120" s="510"/>
      <c r="J120" s="510"/>
      <c r="K120" s="510"/>
      <c r="L120" s="510"/>
      <c r="M120" s="510"/>
      <c r="N120" s="510"/>
      <c r="O120" s="244"/>
      <c r="P120" s="66"/>
      <c r="Q120" s="66"/>
      <c r="R120" s="66"/>
      <c r="S120" s="66"/>
      <c r="T120" s="66"/>
      <c r="U120" s="66"/>
      <c r="V120" s="66"/>
      <c r="W120" s="66"/>
      <c r="X120" s="66"/>
      <c r="Y120" s="66"/>
      <c r="Z120" s="66"/>
      <c r="AA120" s="66"/>
    </row>
    <row r="121" spans="1:27" ht="30.75" customHeight="1" x14ac:dyDescent="0.25">
      <c r="A121" s="390"/>
      <c r="B121" s="390"/>
      <c r="C121" s="510" t="s">
        <v>199</v>
      </c>
      <c r="D121" s="510"/>
      <c r="E121" s="510"/>
      <c r="F121" s="510"/>
      <c r="G121" s="510"/>
      <c r="H121" s="510"/>
      <c r="I121" s="510"/>
      <c r="J121" s="510"/>
      <c r="K121" s="510"/>
      <c r="L121" s="510"/>
      <c r="M121" s="510"/>
      <c r="N121" s="510"/>
      <c r="O121" s="244"/>
      <c r="P121" s="66"/>
      <c r="Q121" s="66"/>
      <c r="R121" s="66"/>
      <c r="S121" s="66"/>
      <c r="T121" s="66"/>
      <c r="U121" s="66"/>
      <c r="V121" s="66"/>
      <c r="W121" s="66"/>
      <c r="X121" s="66"/>
      <c r="Y121" s="66"/>
      <c r="Z121" s="66"/>
      <c r="AA121" s="66"/>
    </row>
    <row r="122" spans="1:27" ht="34.5" customHeight="1" x14ac:dyDescent="0.25">
      <c r="A122" s="390"/>
      <c r="B122" s="390"/>
      <c r="C122" s="510" t="s">
        <v>200</v>
      </c>
      <c r="D122" s="510"/>
      <c r="E122" s="510"/>
      <c r="F122" s="510"/>
      <c r="G122" s="510"/>
      <c r="H122" s="510"/>
      <c r="I122" s="510"/>
      <c r="J122" s="510"/>
      <c r="K122" s="510"/>
      <c r="L122" s="510"/>
      <c r="M122" s="510"/>
      <c r="N122" s="510"/>
      <c r="O122" s="244"/>
      <c r="P122" s="66"/>
      <c r="Q122" s="66"/>
      <c r="R122" s="66"/>
      <c r="S122" s="66"/>
      <c r="T122" s="66"/>
      <c r="U122" s="66"/>
      <c r="V122" s="66"/>
      <c r="W122" s="66"/>
      <c r="X122" s="66"/>
      <c r="Y122" s="66"/>
      <c r="Z122" s="66"/>
      <c r="AA122" s="66"/>
    </row>
    <row r="123" spans="1:27" ht="22.5" customHeight="1" x14ac:dyDescent="0.25">
      <c r="A123" s="390"/>
      <c r="B123" s="390"/>
      <c r="C123" s="511" t="s">
        <v>201</v>
      </c>
      <c r="D123" s="512"/>
      <c r="E123" s="512"/>
      <c r="F123" s="512"/>
      <c r="G123" s="512"/>
      <c r="H123" s="512"/>
      <c r="I123" s="512"/>
      <c r="J123" s="512"/>
      <c r="K123" s="512"/>
      <c r="L123" s="512"/>
      <c r="M123" s="512"/>
      <c r="N123" s="513"/>
      <c r="O123" s="244"/>
      <c r="P123" s="66"/>
      <c r="Q123" s="66"/>
      <c r="R123" s="66"/>
      <c r="S123" s="66"/>
      <c r="T123" s="66"/>
      <c r="U123" s="66"/>
      <c r="V123" s="66"/>
      <c r="W123" s="66"/>
      <c r="X123" s="66"/>
      <c r="Y123" s="66"/>
      <c r="Z123" s="66"/>
      <c r="AA123" s="66"/>
    </row>
    <row r="124" spans="1:27" ht="22.5" customHeight="1" x14ac:dyDescent="0.25">
      <c r="A124" s="390"/>
      <c r="B124" s="390"/>
      <c r="C124" s="500" t="s">
        <v>202</v>
      </c>
      <c r="D124" s="501"/>
      <c r="E124" s="501"/>
      <c r="F124" s="501"/>
      <c r="G124" s="501"/>
      <c r="H124" s="501"/>
      <c r="I124" s="501"/>
      <c r="J124" s="501"/>
      <c r="K124" s="501"/>
      <c r="L124" s="501"/>
      <c r="M124" s="501"/>
      <c r="N124" s="502"/>
      <c r="O124" s="244"/>
      <c r="P124" s="66"/>
      <c r="Q124" s="66"/>
      <c r="R124" s="66"/>
      <c r="S124" s="66"/>
      <c r="T124" s="66"/>
      <c r="U124" s="66"/>
      <c r="V124" s="66"/>
      <c r="W124" s="66"/>
      <c r="X124" s="66"/>
      <c r="Y124" s="66"/>
      <c r="Z124" s="66"/>
      <c r="AA124" s="66"/>
    </row>
    <row r="125" spans="1:27" ht="45" customHeight="1" x14ac:dyDescent="0.25">
      <c r="A125" s="390"/>
      <c r="B125" s="390"/>
      <c r="C125" s="500" t="s">
        <v>203</v>
      </c>
      <c r="D125" s="501"/>
      <c r="E125" s="501"/>
      <c r="F125" s="501"/>
      <c r="G125" s="501"/>
      <c r="H125" s="501"/>
      <c r="I125" s="501"/>
      <c r="J125" s="501"/>
      <c r="K125" s="501"/>
      <c r="L125" s="501"/>
      <c r="M125" s="501"/>
      <c r="N125" s="502"/>
      <c r="O125" s="244"/>
      <c r="P125" s="66"/>
      <c r="Q125" s="66"/>
      <c r="R125" s="66"/>
      <c r="S125" s="66"/>
      <c r="T125" s="66"/>
      <c r="U125" s="66"/>
      <c r="V125" s="66"/>
      <c r="W125" s="66"/>
      <c r="X125" s="66"/>
      <c r="Y125" s="66"/>
      <c r="Z125" s="66"/>
      <c r="AA125" s="66"/>
    </row>
    <row r="126" spans="1:27" ht="43.5" customHeight="1" x14ac:dyDescent="0.25">
      <c r="A126" s="390"/>
      <c r="B126" s="390"/>
      <c r="C126" s="500" t="s">
        <v>646</v>
      </c>
      <c r="D126" s="501"/>
      <c r="E126" s="501"/>
      <c r="F126" s="501"/>
      <c r="G126" s="501"/>
      <c r="H126" s="501"/>
      <c r="I126" s="501"/>
      <c r="J126" s="501"/>
      <c r="K126" s="501"/>
      <c r="L126" s="501"/>
      <c r="M126" s="501"/>
      <c r="N126" s="502"/>
      <c r="O126" s="244"/>
      <c r="P126" s="66"/>
      <c r="Q126" s="66"/>
      <c r="R126" s="66"/>
      <c r="S126" s="66"/>
      <c r="T126" s="66"/>
      <c r="U126" s="66"/>
      <c r="V126" s="66"/>
      <c r="W126" s="66"/>
      <c r="X126" s="66"/>
      <c r="Y126" s="66"/>
      <c r="Z126" s="66"/>
      <c r="AA126" s="66"/>
    </row>
    <row r="127" spans="1:27" ht="22.5" customHeight="1" x14ac:dyDescent="0.25">
      <c r="A127" s="390"/>
      <c r="B127" s="390"/>
      <c r="C127" s="66"/>
      <c r="D127" s="66"/>
      <c r="E127" s="66"/>
      <c r="F127" s="66"/>
      <c r="G127" s="66"/>
      <c r="H127" s="105"/>
      <c r="I127" s="105"/>
      <c r="J127" s="66"/>
      <c r="K127" s="66"/>
      <c r="L127" s="66"/>
      <c r="M127" s="66"/>
      <c r="N127" s="66"/>
      <c r="O127" s="244"/>
      <c r="P127" s="66"/>
      <c r="Q127" s="66"/>
      <c r="R127" s="66"/>
      <c r="S127" s="66"/>
      <c r="T127" s="66"/>
      <c r="U127" s="66"/>
      <c r="V127" s="66"/>
      <c r="W127" s="66"/>
      <c r="X127" s="66"/>
      <c r="Y127" s="66"/>
      <c r="Z127" s="66"/>
      <c r="AA127" s="66"/>
    </row>
    <row r="128" spans="1:27" ht="22.5" customHeight="1" x14ac:dyDescent="0.25">
      <c r="A128" s="390"/>
      <c r="B128" s="390"/>
      <c r="C128" s="66"/>
      <c r="D128" s="66"/>
      <c r="E128" s="66"/>
      <c r="F128" s="66"/>
      <c r="G128" s="66"/>
      <c r="H128" s="105"/>
      <c r="I128" s="105"/>
      <c r="J128" s="66"/>
      <c r="K128" s="66"/>
      <c r="L128" s="66"/>
      <c r="M128" s="66"/>
      <c r="N128" s="66"/>
      <c r="O128" s="244"/>
      <c r="P128" s="66"/>
      <c r="Q128" s="66"/>
      <c r="R128" s="66"/>
      <c r="S128" s="66"/>
      <c r="T128" s="66"/>
      <c r="U128" s="66"/>
      <c r="V128" s="66"/>
      <c r="W128" s="66"/>
      <c r="X128" s="66"/>
      <c r="Y128" s="66"/>
      <c r="Z128" s="66"/>
      <c r="AA128" s="66"/>
    </row>
    <row r="129" spans="1:27" ht="22.5" customHeight="1" x14ac:dyDescent="0.25">
      <c r="A129" s="390"/>
      <c r="B129" s="390"/>
      <c r="C129" s="66"/>
      <c r="D129" s="66"/>
      <c r="E129" s="66"/>
      <c r="F129" s="66"/>
      <c r="G129" s="66"/>
      <c r="H129" s="105"/>
      <c r="I129" s="105"/>
      <c r="J129" s="66"/>
      <c r="K129" s="66"/>
      <c r="L129" s="66"/>
      <c r="M129" s="66"/>
      <c r="N129" s="66"/>
      <c r="O129" s="244"/>
      <c r="P129" s="66"/>
      <c r="Q129" s="66"/>
      <c r="R129" s="66"/>
      <c r="S129" s="66"/>
      <c r="T129" s="66"/>
      <c r="U129" s="66"/>
      <c r="V129" s="66"/>
      <c r="W129" s="66"/>
      <c r="X129" s="66"/>
      <c r="Y129" s="66"/>
      <c r="Z129" s="66"/>
      <c r="AA129" s="66"/>
    </row>
    <row r="130" spans="1:27" ht="22.5" customHeight="1" x14ac:dyDescent="0.25">
      <c r="A130" s="390"/>
      <c r="B130" s="390"/>
      <c r="C130" s="66"/>
      <c r="D130" s="66"/>
      <c r="E130" s="66"/>
      <c r="F130" s="66"/>
      <c r="G130" s="66"/>
      <c r="H130" s="105"/>
      <c r="I130" s="105"/>
      <c r="J130" s="66"/>
      <c r="K130" s="66"/>
      <c r="L130" s="66"/>
      <c r="M130" s="66"/>
      <c r="N130" s="66"/>
      <c r="O130" s="244"/>
      <c r="P130" s="66"/>
      <c r="Q130" s="66"/>
      <c r="R130" s="66"/>
      <c r="S130" s="66"/>
      <c r="T130" s="66"/>
      <c r="U130" s="66"/>
      <c r="V130" s="66"/>
      <c r="W130" s="66"/>
      <c r="X130" s="66"/>
      <c r="Y130" s="66"/>
      <c r="Z130" s="66"/>
      <c r="AA130" s="66"/>
    </row>
    <row r="131" spans="1:27" ht="22.5" customHeight="1" x14ac:dyDescent="0.25">
      <c r="A131" s="390"/>
      <c r="B131" s="390"/>
      <c r="C131" s="66"/>
      <c r="D131" s="66"/>
      <c r="E131" s="66"/>
      <c r="F131" s="66"/>
      <c r="G131" s="66"/>
      <c r="H131" s="105"/>
      <c r="I131" s="105"/>
      <c r="J131" s="66"/>
      <c r="K131" s="66"/>
      <c r="L131" s="66"/>
      <c r="M131" s="66"/>
      <c r="N131" s="66"/>
      <c r="O131" s="244"/>
      <c r="P131" s="66"/>
      <c r="Q131" s="66"/>
      <c r="R131" s="66"/>
      <c r="S131" s="66"/>
      <c r="T131" s="66"/>
      <c r="U131" s="66"/>
      <c r="V131" s="66"/>
      <c r="W131" s="66"/>
      <c r="X131" s="66"/>
      <c r="Y131" s="66"/>
      <c r="Z131" s="66"/>
      <c r="AA131" s="66"/>
    </row>
    <row r="132" spans="1:27" ht="22.5" customHeight="1" x14ac:dyDescent="0.25">
      <c r="A132" s="390"/>
      <c r="B132" s="390"/>
      <c r="C132" s="66"/>
      <c r="D132" s="66"/>
      <c r="E132" s="66"/>
      <c r="F132" s="66"/>
      <c r="G132" s="66"/>
      <c r="H132" s="105"/>
      <c r="I132" s="105"/>
      <c r="J132" s="66"/>
      <c r="K132" s="66"/>
      <c r="L132" s="66"/>
      <c r="M132" s="66"/>
      <c r="N132" s="66"/>
      <c r="O132" s="244"/>
      <c r="P132" s="66"/>
      <c r="Q132" s="66"/>
      <c r="R132" s="66"/>
      <c r="S132" s="66"/>
      <c r="T132" s="66"/>
      <c r="U132" s="66"/>
      <c r="V132" s="66"/>
      <c r="W132" s="66"/>
      <c r="X132" s="66"/>
      <c r="Y132" s="66"/>
      <c r="Z132" s="66"/>
      <c r="AA132" s="66"/>
    </row>
    <row r="133" spans="1:27" ht="22.5" customHeight="1" x14ac:dyDescent="0.25">
      <c r="A133" s="390"/>
      <c r="B133" s="390"/>
      <c r="C133" s="66"/>
      <c r="D133" s="66"/>
      <c r="E133" s="66"/>
      <c r="F133" s="66"/>
      <c r="G133" s="66"/>
      <c r="H133" s="105"/>
      <c r="I133" s="105"/>
      <c r="J133" s="66"/>
      <c r="K133" s="66"/>
      <c r="L133" s="66"/>
      <c r="M133" s="66"/>
      <c r="N133" s="66"/>
      <c r="O133" s="244"/>
      <c r="P133" s="66"/>
      <c r="Q133" s="66"/>
      <c r="R133" s="66"/>
      <c r="S133" s="66"/>
      <c r="T133" s="66"/>
      <c r="U133" s="66"/>
      <c r="V133" s="66"/>
      <c r="W133" s="66"/>
      <c r="X133" s="66"/>
      <c r="Y133" s="66"/>
      <c r="Z133" s="66"/>
      <c r="AA133" s="66"/>
    </row>
    <row r="134" spans="1:27" ht="22.5" customHeight="1" x14ac:dyDescent="0.25">
      <c r="A134" s="390"/>
      <c r="B134" s="390"/>
      <c r="C134" s="66"/>
      <c r="D134" s="66"/>
      <c r="E134" s="66"/>
      <c r="F134" s="66"/>
      <c r="G134" s="66"/>
      <c r="H134" s="105"/>
      <c r="I134" s="105"/>
      <c r="J134" s="66"/>
      <c r="K134" s="66"/>
      <c r="L134" s="66"/>
      <c r="M134" s="66"/>
      <c r="N134" s="66"/>
      <c r="O134" s="244"/>
      <c r="P134" s="66"/>
      <c r="Q134" s="66"/>
      <c r="R134" s="66"/>
      <c r="S134" s="66"/>
      <c r="T134" s="66"/>
      <c r="U134" s="66"/>
      <c r="V134" s="66"/>
      <c r="W134" s="66"/>
      <c r="X134" s="66"/>
      <c r="Y134" s="66"/>
      <c r="Z134" s="66"/>
      <c r="AA134" s="66"/>
    </row>
    <row r="135" spans="1:27" ht="22.5" customHeight="1" x14ac:dyDescent="0.25">
      <c r="A135" s="390"/>
      <c r="B135" s="390"/>
      <c r="C135" s="66"/>
      <c r="D135" s="66"/>
      <c r="E135" s="66"/>
      <c r="F135" s="66"/>
      <c r="G135" s="66"/>
      <c r="H135" s="105"/>
      <c r="I135" s="105"/>
      <c r="J135" s="66"/>
      <c r="K135" s="66"/>
      <c r="L135" s="66"/>
      <c r="M135" s="66"/>
      <c r="N135" s="66"/>
      <c r="O135" s="244"/>
      <c r="P135" s="66"/>
      <c r="Q135" s="66"/>
      <c r="R135" s="66"/>
      <c r="S135" s="66"/>
      <c r="T135" s="66"/>
      <c r="U135" s="66"/>
      <c r="V135" s="66"/>
      <c r="W135" s="66"/>
      <c r="X135" s="66"/>
      <c r="Y135" s="66"/>
      <c r="Z135" s="66"/>
      <c r="AA135" s="66"/>
    </row>
    <row r="136" spans="1:27" ht="22.5" customHeight="1" x14ac:dyDescent="0.25">
      <c r="A136" s="390"/>
      <c r="B136" s="390"/>
      <c r="C136" s="66"/>
      <c r="D136" s="66"/>
      <c r="E136" s="66"/>
      <c r="F136" s="66"/>
      <c r="G136" s="66"/>
      <c r="H136" s="105"/>
      <c r="I136" s="105"/>
      <c r="J136" s="66"/>
      <c r="K136" s="66"/>
      <c r="L136" s="66"/>
      <c r="M136" s="66"/>
      <c r="N136" s="66"/>
      <c r="O136" s="244"/>
      <c r="P136" s="66"/>
      <c r="Q136" s="66"/>
      <c r="R136" s="66"/>
      <c r="S136" s="66"/>
      <c r="T136" s="66"/>
      <c r="U136" s="66"/>
      <c r="V136" s="66"/>
      <c r="W136" s="66"/>
      <c r="X136" s="66"/>
      <c r="Y136" s="66"/>
      <c r="Z136" s="66"/>
      <c r="AA136" s="66"/>
    </row>
    <row r="137" spans="1:27" ht="22.5" customHeight="1" x14ac:dyDescent="0.25">
      <c r="A137" s="390"/>
      <c r="B137" s="390"/>
    </row>
  </sheetData>
  <mergeCells count="9">
    <mergeCell ref="C126:N126"/>
    <mergeCell ref="C124:N124"/>
    <mergeCell ref="C125:N125"/>
    <mergeCell ref="C5:N6"/>
    <mergeCell ref="C8:N16"/>
    <mergeCell ref="C120:N120"/>
    <mergeCell ref="C121:N121"/>
    <mergeCell ref="C122:N122"/>
    <mergeCell ref="C123:N123"/>
  </mergeCells>
  <printOptions horizontalCentered="1" headings="1"/>
  <pageMargins left="1" right="1" top="1.25" bottom="0.5" header="0.5" footer="0.5"/>
  <pageSetup paperSize="17" scale="46" orientation="portrait" r:id="rId1"/>
  <headerFooter scaleWithDoc="0">
    <oddHeader>&amp;R&amp;"Arial,Bold"ICC Docket No. 17-0312
Statewide Quarterly Report ComEd 2019 Q4 
Tab: &amp;A</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89318521683403E-2"/>
    <pageSetUpPr fitToPage="1"/>
  </sheetPr>
  <dimension ref="A1:K42"/>
  <sheetViews>
    <sheetView topLeftCell="A6" workbookViewId="0">
      <selection activeCell="C34" sqref="C34"/>
    </sheetView>
  </sheetViews>
  <sheetFormatPr defaultColWidth="0" defaultRowHeight="15" zeroHeight="1" x14ac:dyDescent="0.25"/>
  <cols>
    <col min="1" max="1" width="6.140625" customWidth="1"/>
    <col min="2" max="2" width="33.140625" style="12" customWidth="1"/>
    <col min="3" max="3" width="19.140625" bestFit="1" customWidth="1"/>
    <col min="4" max="4" width="20.140625" customWidth="1"/>
    <col min="5" max="5" width="18.85546875" customWidth="1"/>
    <col min="6" max="7" width="18.5703125" customWidth="1"/>
    <col min="8" max="8" width="8.85546875" customWidth="1"/>
    <col min="9" max="11" width="9.140625" customWidth="1"/>
    <col min="12" max="16384" width="9.140625" hidden="1"/>
  </cols>
  <sheetData>
    <row r="1" spans="1:11" x14ac:dyDescent="0.25">
      <c r="A1" s="66"/>
      <c r="B1" s="72" t="s">
        <v>0</v>
      </c>
      <c r="C1" s="66"/>
      <c r="D1" s="66"/>
      <c r="E1" s="66"/>
      <c r="F1" s="66"/>
      <c r="G1" s="66"/>
      <c r="H1" s="66"/>
      <c r="I1" s="66"/>
      <c r="J1" s="66"/>
      <c r="K1" s="66"/>
    </row>
    <row r="2" spans="1:11" x14ac:dyDescent="0.25">
      <c r="A2" s="66"/>
      <c r="B2" s="72" t="s">
        <v>626</v>
      </c>
      <c r="C2" s="66"/>
      <c r="D2" s="66"/>
      <c r="E2" s="66"/>
      <c r="F2" s="66"/>
      <c r="G2" s="66"/>
      <c r="H2" s="66"/>
      <c r="I2" s="66"/>
      <c r="J2" s="66"/>
      <c r="K2" s="66"/>
    </row>
    <row r="3" spans="1:11" x14ac:dyDescent="0.25">
      <c r="A3" s="66"/>
      <c r="B3" s="73"/>
      <c r="C3" s="66"/>
      <c r="D3" s="66"/>
      <c r="E3" s="66"/>
      <c r="F3" s="66"/>
      <c r="G3" s="66"/>
      <c r="H3" s="66"/>
      <c r="I3" s="66"/>
      <c r="J3" s="66"/>
      <c r="K3" s="66"/>
    </row>
    <row r="4" spans="1:11" x14ac:dyDescent="0.25">
      <c r="A4" s="66"/>
      <c r="B4" s="72"/>
      <c r="C4" s="66"/>
      <c r="D4" s="66"/>
      <c r="E4" s="66"/>
      <c r="F4" s="66"/>
      <c r="G4" s="66"/>
      <c r="H4" s="66"/>
      <c r="I4" s="66"/>
      <c r="J4" s="66"/>
      <c r="K4" s="66"/>
    </row>
    <row r="5" spans="1:11" ht="29.25" customHeight="1" x14ac:dyDescent="0.25">
      <c r="A5" s="66"/>
      <c r="B5" s="528" t="s">
        <v>627</v>
      </c>
      <c r="C5" s="528"/>
      <c r="D5" s="528"/>
      <c r="E5" s="528"/>
      <c r="F5" s="528"/>
      <c r="G5" s="528"/>
      <c r="H5" s="66"/>
      <c r="I5" s="66"/>
      <c r="J5" s="66"/>
      <c r="K5" s="66"/>
    </row>
    <row r="6" spans="1:11" x14ac:dyDescent="0.25">
      <c r="A6" s="66"/>
      <c r="B6" s="528"/>
      <c r="C6" s="528"/>
      <c r="D6" s="528"/>
      <c r="E6" s="528"/>
      <c r="F6" s="528"/>
      <c r="G6" s="528"/>
      <c r="H6" s="66"/>
      <c r="I6" s="66"/>
      <c r="J6" s="66"/>
      <c r="K6" s="66"/>
    </row>
    <row r="7" spans="1:11" x14ac:dyDescent="0.25">
      <c r="A7" s="66"/>
      <c r="B7" s="528"/>
      <c r="C7" s="528"/>
      <c r="D7" s="528"/>
      <c r="E7" s="528"/>
      <c r="F7" s="528"/>
      <c r="G7" s="528"/>
      <c r="H7" s="66"/>
      <c r="I7" s="66"/>
      <c r="J7" s="66"/>
      <c r="K7" s="66"/>
    </row>
    <row r="8" spans="1:11" x14ac:dyDescent="0.25">
      <c r="A8" s="66"/>
      <c r="B8" s="528"/>
      <c r="C8" s="528"/>
      <c r="D8" s="528"/>
      <c r="E8" s="528"/>
      <c r="F8" s="528"/>
      <c r="G8" s="528"/>
      <c r="H8" s="66"/>
      <c r="I8" s="66"/>
      <c r="J8" s="66"/>
      <c r="K8" s="66"/>
    </row>
    <row r="9" spans="1:11" ht="42" customHeight="1" x14ac:dyDescent="0.25">
      <c r="A9" s="66"/>
      <c r="B9" s="528"/>
      <c r="C9" s="528"/>
      <c r="D9" s="528"/>
      <c r="E9" s="528"/>
      <c r="F9" s="528"/>
      <c r="G9" s="528"/>
      <c r="H9" s="66"/>
      <c r="I9" s="66"/>
      <c r="J9" s="66"/>
      <c r="K9" s="66"/>
    </row>
    <row r="10" spans="1:11" x14ac:dyDescent="0.25">
      <c r="A10" s="66"/>
      <c r="B10" s="71"/>
      <c r="C10" s="66"/>
      <c r="D10" s="66"/>
      <c r="E10" s="66"/>
      <c r="F10" s="66"/>
      <c r="G10" s="66"/>
      <c r="H10" s="66"/>
      <c r="I10" s="66"/>
      <c r="J10" s="66"/>
      <c r="K10" s="66"/>
    </row>
    <row r="11" spans="1:11" ht="18" x14ac:dyDescent="0.25">
      <c r="A11" s="66"/>
      <c r="B11" s="74" t="s">
        <v>628</v>
      </c>
      <c r="C11" s="74"/>
      <c r="D11" s="75"/>
      <c r="E11" s="75"/>
      <c r="F11" s="75"/>
      <c r="G11" s="75"/>
      <c r="H11" s="66"/>
      <c r="I11" s="66"/>
      <c r="J11" s="66"/>
      <c r="K11" s="66"/>
    </row>
    <row r="12" spans="1:11" ht="18" x14ac:dyDescent="0.25">
      <c r="A12" s="66"/>
      <c r="B12" s="232" t="str">
        <f>'1- Ex Ante Results'!C19</f>
        <v>CY2024 Q3</v>
      </c>
      <c r="C12" s="76"/>
      <c r="D12" s="75"/>
      <c r="E12" s="75"/>
      <c r="F12" s="75"/>
      <c r="G12" s="75"/>
      <c r="H12" s="66"/>
      <c r="I12" s="66"/>
      <c r="J12" s="66"/>
      <c r="K12" s="66"/>
    </row>
    <row r="13" spans="1:11" s="12" customFormat="1" ht="42.75" x14ac:dyDescent="0.25">
      <c r="A13" s="71"/>
      <c r="B13" s="11" t="s">
        <v>457</v>
      </c>
      <c r="C13" s="5" t="s">
        <v>629</v>
      </c>
      <c r="D13" s="5" t="s">
        <v>630</v>
      </c>
      <c r="E13" s="5" t="s">
        <v>631</v>
      </c>
      <c r="F13" s="5" t="s">
        <v>632</v>
      </c>
      <c r="G13" s="5" t="s">
        <v>633</v>
      </c>
      <c r="H13" s="71"/>
      <c r="I13" s="71"/>
      <c r="J13" s="71"/>
      <c r="K13" s="71"/>
    </row>
    <row r="14" spans="1:11" ht="16.5" x14ac:dyDescent="0.25">
      <c r="A14" s="66"/>
      <c r="B14" s="46" t="s">
        <v>473</v>
      </c>
      <c r="C14" s="52">
        <v>27356150.450000003</v>
      </c>
      <c r="D14" s="53">
        <v>6949809.1399999997</v>
      </c>
      <c r="E14" s="53">
        <f>C14+D14</f>
        <v>34305959.590000004</v>
      </c>
      <c r="F14" s="53">
        <v>0</v>
      </c>
      <c r="G14" s="53">
        <f>SUM(E14,F14)</f>
        <v>34305959.590000004</v>
      </c>
      <c r="H14" s="66"/>
      <c r="I14" s="66"/>
      <c r="J14" s="66"/>
      <c r="K14" s="66"/>
    </row>
    <row r="15" spans="1:11" s="12" customFormat="1" ht="16.5" x14ac:dyDescent="0.25">
      <c r="A15" s="71"/>
      <c r="B15" s="46" t="s">
        <v>476</v>
      </c>
      <c r="C15" s="52">
        <v>52071860.044945925</v>
      </c>
      <c r="D15" s="53">
        <v>11471615</v>
      </c>
      <c r="E15" s="53">
        <f t="shared" ref="E15:E25" si="0">C15+D15</f>
        <v>63543475.044945925</v>
      </c>
      <c r="F15" s="53">
        <v>0</v>
      </c>
      <c r="G15" s="53">
        <f t="shared" ref="G15:G25" si="1">SUM(E15,F15)</f>
        <v>63543475.044945925</v>
      </c>
      <c r="H15" s="71"/>
      <c r="I15" s="71"/>
      <c r="J15" s="71"/>
      <c r="K15" s="71"/>
    </row>
    <row r="16" spans="1:11" ht="16.5" x14ac:dyDescent="0.25">
      <c r="A16" s="66"/>
      <c r="B16" s="46" t="s">
        <v>479</v>
      </c>
      <c r="C16" s="52">
        <v>75691132.849999994</v>
      </c>
      <c r="D16" s="53">
        <v>28659010.5</v>
      </c>
      <c r="E16" s="53">
        <f t="shared" si="0"/>
        <v>104350143.34999999</v>
      </c>
      <c r="F16" s="53">
        <v>0</v>
      </c>
      <c r="G16" s="53">
        <f t="shared" si="1"/>
        <v>104350143.34999999</v>
      </c>
      <c r="H16" s="66"/>
      <c r="I16" s="66"/>
      <c r="J16" s="66"/>
      <c r="K16" s="66"/>
    </row>
    <row r="17" spans="1:11" ht="16.5" x14ac:dyDescent="0.25">
      <c r="A17" s="66"/>
      <c r="B17" s="36" t="s">
        <v>489</v>
      </c>
      <c r="C17" s="126">
        <f>SUM(C14:C16)</f>
        <v>155119143.34494591</v>
      </c>
      <c r="D17" s="126">
        <f>SUM(D14:D16)</f>
        <v>47080434.640000001</v>
      </c>
      <c r="E17" s="126">
        <f t="shared" si="0"/>
        <v>202199577.98494589</v>
      </c>
      <c r="F17" s="126">
        <f>SUM(F14:F16)</f>
        <v>0</v>
      </c>
      <c r="G17" s="126">
        <f t="shared" si="1"/>
        <v>202199577.98494589</v>
      </c>
      <c r="H17" s="66"/>
      <c r="I17" s="66"/>
      <c r="J17" s="66"/>
      <c r="K17" s="66"/>
    </row>
    <row r="18" spans="1:11" ht="16.5" x14ac:dyDescent="0.25">
      <c r="A18" s="66"/>
      <c r="B18" s="46" t="s">
        <v>490</v>
      </c>
      <c r="C18" s="52">
        <v>106315194.5</v>
      </c>
      <c r="D18" s="53">
        <v>35049987</v>
      </c>
      <c r="E18" s="53">
        <f t="shared" si="0"/>
        <v>141365181.5</v>
      </c>
      <c r="F18" s="53">
        <v>0</v>
      </c>
      <c r="G18" s="53">
        <f t="shared" si="1"/>
        <v>141365181.5</v>
      </c>
      <c r="H18" s="66"/>
      <c r="I18" s="66"/>
      <c r="J18" s="66"/>
      <c r="K18" s="66"/>
    </row>
    <row r="19" spans="1:11" ht="16.5" x14ac:dyDescent="0.25">
      <c r="A19" s="66"/>
      <c r="B19" s="46" t="s">
        <v>491</v>
      </c>
      <c r="C19" s="52">
        <v>107354963.67</v>
      </c>
      <c r="D19" s="53">
        <v>33565649.329999998</v>
      </c>
      <c r="E19" s="53">
        <f t="shared" si="0"/>
        <v>140920613</v>
      </c>
      <c r="F19" s="53">
        <v>31329</v>
      </c>
      <c r="G19" s="53">
        <f t="shared" si="1"/>
        <v>140951942</v>
      </c>
      <c r="H19" s="66"/>
      <c r="I19" s="66"/>
      <c r="J19" s="66"/>
      <c r="K19" s="66"/>
    </row>
    <row r="20" spans="1:11" ht="16.5" x14ac:dyDescent="0.25">
      <c r="A20" s="66"/>
      <c r="B20" s="46" t="s">
        <v>493</v>
      </c>
      <c r="C20" s="52">
        <v>124096016.16999999</v>
      </c>
      <c r="D20" s="53">
        <v>31563417</v>
      </c>
      <c r="E20" s="53">
        <f t="shared" si="0"/>
        <v>155659433.16999999</v>
      </c>
      <c r="F20" s="53">
        <v>29469183.289999999</v>
      </c>
      <c r="G20" s="127">
        <f t="shared" si="1"/>
        <v>185128616.45999998</v>
      </c>
      <c r="H20" s="66"/>
      <c r="I20" s="66"/>
      <c r="J20" s="66"/>
      <c r="K20" s="66"/>
    </row>
    <row r="21" spans="1:11" ht="28.5" x14ac:dyDescent="0.25">
      <c r="A21" s="66"/>
      <c r="B21" s="36" t="s">
        <v>495</v>
      </c>
      <c r="C21" s="126">
        <f>SUM(C18:C20)</f>
        <v>337766174.34000003</v>
      </c>
      <c r="D21" s="126">
        <f>SUM(D18:D20)</f>
        <v>100179053.33</v>
      </c>
      <c r="E21" s="126">
        <f t="shared" si="0"/>
        <v>437945227.67000002</v>
      </c>
      <c r="F21" s="126">
        <f>SUM(F18:F20)</f>
        <v>29500512.289999999</v>
      </c>
      <c r="G21" s="128">
        <f t="shared" si="1"/>
        <v>467445739.96000004</v>
      </c>
      <c r="H21" s="66"/>
      <c r="I21" s="66"/>
      <c r="J21" s="66"/>
      <c r="K21" s="66"/>
    </row>
    <row r="22" spans="1:11" ht="16.5" x14ac:dyDescent="0.25">
      <c r="A22" s="66"/>
      <c r="B22" s="46" t="s">
        <v>496</v>
      </c>
      <c r="C22" s="53">
        <v>128288585</v>
      </c>
      <c r="D22" s="53">
        <v>33728435</v>
      </c>
      <c r="E22" s="53">
        <f t="shared" si="0"/>
        <v>162017020</v>
      </c>
      <c r="F22" s="129">
        <v>39150326.559999995</v>
      </c>
      <c r="G22" s="53">
        <f t="shared" si="1"/>
        <v>201167346.56</v>
      </c>
      <c r="H22" s="66"/>
      <c r="I22" s="66"/>
      <c r="J22" s="66"/>
      <c r="K22" s="66"/>
    </row>
    <row r="23" spans="1:11" ht="16.5" x14ac:dyDescent="0.25">
      <c r="A23" s="66"/>
      <c r="B23" s="46" t="s">
        <v>497</v>
      </c>
      <c r="C23" s="53">
        <v>108343594</v>
      </c>
      <c r="D23" s="53">
        <v>3670970</v>
      </c>
      <c r="E23" s="53">
        <f t="shared" si="0"/>
        <v>112014564</v>
      </c>
      <c r="F23" s="129">
        <v>87103873</v>
      </c>
      <c r="G23" s="53">
        <f t="shared" si="1"/>
        <v>199118437</v>
      </c>
      <c r="H23" s="66"/>
      <c r="I23" s="66"/>
      <c r="J23" s="66"/>
      <c r="K23" s="66"/>
    </row>
    <row r="24" spans="1:11" ht="16.5" x14ac:dyDescent="0.25">
      <c r="A24" s="66"/>
      <c r="B24" s="46" t="s">
        <v>498</v>
      </c>
      <c r="C24" s="53">
        <v>222451927.53999999</v>
      </c>
      <c r="D24" s="53">
        <v>57854489</v>
      </c>
      <c r="E24" s="53">
        <f t="shared" si="0"/>
        <v>280306416.53999996</v>
      </c>
      <c r="F24" s="129">
        <v>159497825.46000001</v>
      </c>
      <c r="G24" s="127">
        <f t="shared" si="1"/>
        <v>439804242</v>
      </c>
      <c r="H24" s="66"/>
      <c r="I24" s="66"/>
      <c r="J24" s="66"/>
      <c r="K24" s="66"/>
    </row>
    <row r="25" spans="1:11" ht="28.5" x14ac:dyDescent="0.25">
      <c r="A25" s="66"/>
      <c r="B25" s="36" t="s">
        <v>499</v>
      </c>
      <c r="C25" s="126">
        <f>SUM(C22:C24)</f>
        <v>459084106.53999996</v>
      </c>
      <c r="D25" s="126">
        <f>SUM(D22:D24)</f>
        <v>95253894</v>
      </c>
      <c r="E25" s="126">
        <f t="shared" si="0"/>
        <v>554338000.53999996</v>
      </c>
      <c r="F25" s="130">
        <f>SUM(F22:F24)</f>
        <v>285752025.01999998</v>
      </c>
      <c r="G25" s="126">
        <f t="shared" si="1"/>
        <v>840090025.55999994</v>
      </c>
      <c r="H25" s="66"/>
      <c r="I25" s="66"/>
      <c r="J25" s="66"/>
      <c r="K25" s="66"/>
    </row>
    <row r="26" spans="1:11" s="12" customFormat="1" ht="38.25" customHeight="1" x14ac:dyDescent="0.25">
      <c r="B26" s="11" t="s">
        <v>457</v>
      </c>
      <c r="C26" s="5" t="s">
        <v>634</v>
      </c>
      <c r="D26" s="5" t="s">
        <v>635</v>
      </c>
      <c r="E26" s="19" t="s">
        <v>22</v>
      </c>
      <c r="F26" s="77"/>
      <c r="G26" s="78"/>
      <c r="H26" s="71"/>
      <c r="I26" s="71"/>
      <c r="J26" s="71"/>
      <c r="K26" s="71"/>
    </row>
    <row r="27" spans="1:11" ht="16.5" x14ac:dyDescent="0.3">
      <c r="A27" s="530" t="s">
        <v>500</v>
      </c>
      <c r="B27" s="31">
        <v>2018</v>
      </c>
      <c r="C27" s="131">
        <v>352988359</v>
      </c>
      <c r="D27" s="132">
        <v>351334190</v>
      </c>
      <c r="E27" s="133">
        <f>C27/D27</f>
        <v>1.0047082494305493</v>
      </c>
      <c r="F27" s="79"/>
      <c r="G27" s="80"/>
      <c r="H27" s="66"/>
      <c r="I27" s="66"/>
      <c r="J27" s="66"/>
      <c r="K27" s="66"/>
    </row>
    <row r="28" spans="1:11" ht="16.5" x14ac:dyDescent="0.3">
      <c r="A28" s="531"/>
      <c r="B28" s="31">
        <v>2019</v>
      </c>
      <c r="C28" s="131">
        <v>351381796</v>
      </c>
      <c r="D28" s="132">
        <v>351334190</v>
      </c>
      <c r="E28" s="133">
        <f>IF(C28=0,"N/A",C28/D28)</f>
        <v>1.0001355006183714</v>
      </c>
      <c r="F28" s="79"/>
      <c r="G28" s="80"/>
      <c r="H28" s="66"/>
      <c r="I28" s="66"/>
      <c r="J28" s="66"/>
      <c r="K28" s="66"/>
    </row>
    <row r="29" spans="1:11" ht="16.5" x14ac:dyDescent="0.3">
      <c r="A29" s="531"/>
      <c r="B29" s="31">
        <v>2020</v>
      </c>
      <c r="C29" s="131">
        <v>346480330</v>
      </c>
      <c r="D29" s="132">
        <v>351334190</v>
      </c>
      <c r="E29" s="133">
        <f>IF(C29=0,"N/A",C29/D29)</f>
        <v>0.98618449288980381</v>
      </c>
      <c r="F29" s="79"/>
      <c r="G29" s="80"/>
      <c r="H29" s="66"/>
      <c r="I29" s="66"/>
      <c r="J29" s="66"/>
      <c r="K29" s="66"/>
    </row>
    <row r="30" spans="1:11" ht="16.5" x14ac:dyDescent="0.3">
      <c r="A30" s="531"/>
      <c r="B30" s="31">
        <v>2021</v>
      </c>
      <c r="C30" s="131">
        <v>351037751.65463001</v>
      </c>
      <c r="D30" s="132">
        <v>351334190</v>
      </c>
      <c r="E30" s="133">
        <f>IF(C30=0,"N/A",C30/D30)</f>
        <v>0.99915624965116545</v>
      </c>
      <c r="F30" s="79"/>
      <c r="G30" s="80"/>
      <c r="H30" s="66"/>
      <c r="I30" s="66"/>
      <c r="J30" s="66"/>
      <c r="K30" s="66"/>
    </row>
    <row r="31" spans="1:11" ht="16.5" x14ac:dyDescent="0.3">
      <c r="A31" s="532"/>
      <c r="B31" s="36" t="s">
        <v>501</v>
      </c>
      <c r="C31" s="134">
        <f>SUM(C27:C30)</f>
        <v>1401888236.6546299</v>
      </c>
      <c r="D31" s="134">
        <f>SUM(D27:D30)</f>
        <v>1405336760</v>
      </c>
      <c r="E31" s="135">
        <f>IF(C31=0,"N/A",C31/D31)</f>
        <v>0.99754612314747249</v>
      </c>
      <c r="F31" s="79"/>
      <c r="G31" s="80"/>
      <c r="H31" s="66"/>
      <c r="I31" s="66"/>
      <c r="J31" s="66"/>
      <c r="K31" s="66"/>
    </row>
    <row r="32" spans="1:11" ht="16.5" x14ac:dyDescent="0.3">
      <c r="A32" s="530" t="s">
        <v>502</v>
      </c>
      <c r="B32" s="31">
        <v>2022</v>
      </c>
      <c r="C32" s="131">
        <v>399377042</v>
      </c>
      <c r="D32" s="132">
        <v>427470991</v>
      </c>
      <c r="E32" s="133">
        <f>C32/D32</f>
        <v>0.93427870056333251</v>
      </c>
      <c r="F32" s="80"/>
      <c r="G32" s="80"/>
      <c r="H32" s="66"/>
      <c r="I32" s="66"/>
      <c r="J32" s="66"/>
      <c r="K32" s="66"/>
    </row>
    <row r="33" spans="1:11" ht="16.5" x14ac:dyDescent="0.25">
      <c r="A33" s="531"/>
      <c r="B33" s="31">
        <v>2023</v>
      </c>
      <c r="C33" s="131">
        <v>415602522.64617443</v>
      </c>
      <c r="D33" s="132">
        <v>439746496.2964471</v>
      </c>
      <c r="E33" s="133">
        <f>IF(C33=0,"N/A",C33/D33)</f>
        <v>0.94509569978700536</v>
      </c>
      <c r="F33" s="66"/>
      <c r="G33" s="66"/>
      <c r="H33" s="66"/>
      <c r="I33" s="66"/>
      <c r="J33" s="66"/>
      <c r="K33" s="66"/>
    </row>
    <row r="34" spans="1:11" ht="16.5" x14ac:dyDescent="0.25">
      <c r="A34" s="531"/>
      <c r="B34" s="31">
        <v>2024</v>
      </c>
      <c r="C34" s="131">
        <f>'2- Costs'!$C$32</f>
        <v>266240010.56222898</v>
      </c>
      <c r="D34" s="132">
        <f>'2- Costs'!$D$32</f>
        <v>437772939</v>
      </c>
      <c r="E34" s="133">
        <f>IF(C34=0,"N/A",C34/D34)</f>
        <v>0.60816918279690413</v>
      </c>
      <c r="F34" s="66"/>
      <c r="G34" s="66"/>
      <c r="H34" s="66"/>
      <c r="I34" s="66"/>
      <c r="J34" s="66"/>
      <c r="K34" s="66"/>
    </row>
    <row r="35" spans="1:11" ht="16.5" x14ac:dyDescent="0.25">
      <c r="A35" s="531"/>
      <c r="B35" s="31">
        <v>2025</v>
      </c>
      <c r="C35" s="131">
        <v>0</v>
      </c>
      <c r="D35" s="132">
        <v>423304298.49758613</v>
      </c>
      <c r="E35" s="133" t="str">
        <f>IF(C35=0,"N/A",C35/D35)</f>
        <v>N/A</v>
      </c>
      <c r="F35" s="66"/>
      <c r="G35" s="66"/>
      <c r="H35" s="66"/>
      <c r="I35" s="66"/>
      <c r="J35" s="66"/>
      <c r="K35" s="66"/>
    </row>
    <row r="36" spans="1:11" ht="16.5" x14ac:dyDescent="0.25">
      <c r="A36" s="532"/>
      <c r="B36" s="36" t="s">
        <v>505</v>
      </c>
      <c r="C36" s="134">
        <f>SUM(C32:C35)</f>
        <v>1081219575.2084033</v>
      </c>
      <c r="D36" s="134">
        <f>SUM(D32:D35)</f>
        <v>1728294724.7940331</v>
      </c>
      <c r="E36" s="135">
        <f>IF(C36=0,"N/A",C36/D36)</f>
        <v>0.62559907155722883</v>
      </c>
      <c r="F36" s="66"/>
      <c r="G36" s="66"/>
      <c r="H36" s="66"/>
      <c r="I36" s="66"/>
      <c r="J36" s="66"/>
      <c r="K36" s="66"/>
    </row>
    <row r="37" spans="1:11" x14ac:dyDescent="0.25">
      <c r="A37" s="71"/>
      <c r="B37" s="71"/>
      <c r="C37" s="66"/>
      <c r="D37" s="66"/>
      <c r="E37" s="66"/>
      <c r="F37" s="66"/>
      <c r="G37" s="66"/>
      <c r="H37" s="66"/>
      <c r="I37" s="66"/>
      <c r="J37" s="66"/>
      <c r="K37" s="66"/>
    </row>
    <row r="38" spans="1:11" x14ac:dyDescent="0.25">
      <c r="A38" s="66"/>
      <c r="B38" s="71"/>
      <c r="C38" s="66"/>
      <c r="D38" s="66"/>
      <c r="E38" s="66"/>
      <c r="F38" s="66"/>
      <c r="G38" s="66"/>
      <c r="H38" s="66"/>
      <c r="I38" s="66"/>
      <c r="J38" s="66"/>
      <c r="K38" s="66"/>
    </row>
    <row r="39" spans="1:11" x14ac:dyDescent="0.25">
      <c r="A39" s="66"/>
      <c r="B39" s="71"/>
      <c r="C39" s="66"/>
      <c r="D39" s="66"/>
      <c r="E39" s="66"/>
      <c r="F39" s="66"/>
      <c r="G39" s="66"/>
      <c r="H39" s="66"/>
      <c r="I39" s="66"/>
      <c r="J39" s="66"/>
      <c r="K39" s="66"/>
    </row>
    <row r="40" spans="1:11" x14ac:dyDescent="0.25">
      <c r="A40" s="66"/>
      <c r="B40" s="71"/>
      <c r="C40" s="66"/>
      <c r="D40" s="66"/>
      <c r="E40" s="66"/>
      <c r="F40" s="66"/>
      <c r="G40" s="66"/>
      <c r="H40" s="66"/>
      <c r="I40" s="66"/>
      <c r="J40" s="66"/>
      <c r="K40" s="66"/>
    </row>
    <row r="41" spans="1:11" x14ac:dyDescent="0.25">
      <c r="A41" s="66"/>
      <c r="B41" s="71"/>
      <c r="C41" s="66"/>
      <c r="D41" s="66"/>
      <c r="E41" s="66"/>
      <c r="F41" s="66"/>
      <c r="G41" s="66"/>
      <c r="H41" s="66"/>
      <c r="I41" s="66"/>
      <c r="J41" s="66"/>
      <c r="K41" s="66"/>
    </row>
    <row r="42" spans="1:11" x14ac:dyDescent="0.25">
      <c r="A42" s="66"/>
      <c r="B42" s="71"/>
      <c r="C42" s="66"/>
      <c r="D42" s="66"/>
      <c r="E42" s="66"/>
      <c r="F42" s="66"/>
      <c r="G42" s="66"/>
      <c r="H42" s="66"/>
      <c r="I42" s="66"/>
      <c r="J42" s="66"/>
      <c r="K42" s="66"/>
    </row>
  </sheetData>
  <mergeCells count="3">
    <mergeCell ref="B5:G9"/>
    <mergeCell ref="A32:A36"/>
    <mergeCell ref="A27:A31"/>
  </mergeCells>
  <printOptions horizontalCentered="1"/>
  <pageMargins left="1" right="1" top="1.25" bottom="1" header="0.5" footer="0.5"/>
  <pageSetup scale="10" orientation="portrait" r:id="rId1"/>
  <headerFooter scaleWithDoc="0">
    <oddHeader>&amp;R&amp;"Arial,Bold"ICC Docket No. 17-0312
Statewide Quarterly Report ComEd 2019 Q4 
Tab: &amp;A</oddHeader>
  </headerFooter>
  <ignoredErrors>
    <ignoredError sqref="E17:E25"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F53B4-C177-4118-A8A5-1C6F30B8F8B8}">
  <sheetPr>
    <tabColor theme="0"/>
    <pageSetUpPr fitToPage="1"/>
  </sheetPr>
  <dimension ref="A1:AA136"/>
  <sheetViews>
    <sheetView topLeftCell="A17" zoomScaleNormal="100" zoomScaleSheetLayoutView="110" workbookViewId="0">
      <pane xSplit="3" ySplit="4" topLeftCell="D102" activePane="bottomRight" state="frozen"/>
      <selection activeCell="C118" sqref="C118"/>
      <selection pane="topRight" activeCell="C118" sqref="C118"/>
      <selection pane="bottomLeft" activeCell="C118" sqref="C118"/>
      <selection pane="bottomRight" activeCell="C118" sqref="C118"/>
    </sheetView>
  </sheetViews>
  <sheetFormatPr defaultColWidth="9.140625" defaultRowHeight="22.5" customHeight="1" x14ac:dyDescent="0.25"/>
  <cols>
    <col min="1" max="1" width="15.5703125" style="389" customWidth="1"/>
    <col min="2" max="2" width="16.28515625" style="389" customWidth="1"/>
    <col min="3" max="3" width="43" customWidth="1"/>
    <col min="4" max="4" width="12.85546875" customWidth="1"/>
    <col min="5" max="6" width="11.85546875" customWidth="1"/>
    <col min="7" max="7" width="14.7109375" customWidth="1"/>
    <col min="8" max="8" width="17" style="3" customWidth="1"/>
    <col min="9" max="9" width="14.5703125" style="3" customWidth="1"/>
    <col min="10" max="13" width="15.5703125" customWidth="1"/>
    <col min="14" max="14" width="14.140625" customWidth="1"/>
    <col min="15" max="15" width="29.140625" style="247" customWidth="1"/>
    <col min="16" max="16" width="24.5703125" customWidth="1"/>
    <col min="17" max="18" width="14" customWidth="1"/>
    <col min="19" max="19" width="18.140625" customWidth="1"/>
    <col min="20" max="20" width="17.5703125" customWidth="1"/>
    <col min="21" max="21" width="10.5703125" bestFit="1" customWidth="1"/>
    <col min="22" max="22" width="17" bestFit="1" customWidth="1"/>
    <col min="23" max="23" width="13.140625" bestFit="1" customWidth="1"/>
  </cols>
  <sheetData>
    <row r="1" spans="1:27" ht="22.5" customHeight="1" x14ac:dyDescent="0.25">
      <c r="B1" s="390"/>
      <c r="C1" s="73" t="s">
        <v>0</v>
      </c>
      <c r="D1" s="73"/>
      <c r="E1" s="73"/>
      <c r="F1" s="73"/>
      <c r="G1" s="66"/>
      <c r="H1" s="105"/>
      <c r="I1" s="105"/>
      <c r="J1" s="66"/>
      <c r="K1" s="66"/>
      <c r="L1" s="66"/>
      <c r="M1" s="66"/>
      <c r="N1" s="66"/>
      <c r="O1" s="244"/>
      <c r="P1" s="66"/>
      <c r="Q1" s="66"/>
      <c r="R1" s="66"/>
      <c r="S1" s="66"/>
      <c r="T1" s="66"/>
      <c r="U1" s="66"/>
      <c r="V1" s="66"/>
      <c r="W1" s="66"/>
      <c r="X1" s="66"/>
      <c r="Y1" s="66"/>
      <c r="Z1" s="66"/>
      <c r="AA1" s="66"/>
    </row>
    <row r="2" spans="1:27" ht="22.5" customHeight="1" x14ac:dyDescent="0.25">
      <c r="B2" s="390"/>
      <c r="C2" s="73" t="s">
        <v>1</v>
      </c>
      <c r="D2" s="73"/>
      <c r="E2" s="73"/>
      <c r="F2" s="73"/>
      <c r="G2" s="66"/>
      <c r="H2" s="105"/>
      <c r="I2" s="105"/>
      <c r="J2" s="66"/>
      <c r="K2" s="66"/>
      <c r="L2" s="66"/>
      <c r="M2" s="66"/>
      <c r="N2" s="66"/>
      <c r="O2" s="244"/>
      <c r="P2" s="66"/>
      <c r="Q2" s="66"/>
      <c r="R2" s="66"/>
      <c r="S2" s="66"/>
      <c r="T2" s="66"/>
      <c r="U2" s="66"/>
      <c r="V2" s="66"/>
      <c r="W2" s="66"/>
      <c r="X2" s="66"/>
      <c r="Y2" s="66"/>
      <c r="Z2" s="66"/>
      <c r="AA2" s="66"/>
    </row>
    <row r="3" spans="1:27" ht="22.5" customHeight="1" x14ac:dyDescent="0.25">
      <c r="B3" s="390"/>
      <c r="C3" s="73" t="s">
        <v>2</v>
      </c>
      <c r="D3" s="73"/>
      <c r="E3" s="73"/>
      <c r="F3" s="73"/>
      <c r="G3" s="66"/>
      <c r="H3" s="105"/>
      <c r="I3" s="105"/>
      <c r="J3" s="66"/>
      <c r="K3" s="66"/>
      <c r="L3" s="66"/>
      <c r="M3" s="66"/>
      <c r="N3" s="66"/>
      <c r="O3" s="244"/>
      <c r="P3" s="66"/>
      <c r="Q3" s="66"/>
      <c r="R3" s="66"/>
      <c r="S3" s="66"/>
      <c r="T3" s="66"/>
      <c r="U3" s="66"/>
      <c r="V3" s="66"/>
      <c r="W3" s="66"/>
      <c r="X3" s="66"/>
      <c r="Y3" s="66"/>
      <c r="Z3" s="66"/>
      <c r="AA3" s="66"/>
    </row>
    <row r="4" spans="1:27" ht="22.5" customHeight="1" x14ac:dyDescent="0.25">
      <c r="B4" s="390"/>
      <c r="C4" s="73"/>
      <c r="D4" s="73"/>
      <c r="E4" s="73"/>
      <c r="F4" s="73"/>
      <c r="G4" s="66"/>
      <c r="H4" s="105"/>
      <c r="I4" s="105"/>
      <c r="J4" s="66"/>
      <c r="K4" s="66"/>
      <c r="L4" s="66"/>
      <c r="M4" s="66"/>
      <c r="N4" s="66"/>
      <c r="O4" s="244"/>
      <c r="P4" s="66"/>
      <c r="Q4" s="66"/>
      <c r="R4" s="66"/>
      <c r="S4" s="66"/>
      <c r="T4" s="66"/>
      <c r="U4" s="66"/>
      <c r="V4" s="66"/>
      <c r="W4" s="66"/>
      <c r="X4" s="66"/>
      <c r="Y4" s="66"/>
      <c r="Z4" s="66"/>
      <c r="AA4" s="66"/>
    </row>
    <row r="5" spans="1:27" ht="22.5" customHeight="1" x14ac:dyDescent="0.25">
      <c r="B5" s="390"/>
      <c r="C5" s="503" t="s">
        <v>3</v>
      </c>
      <c r="D5" s="504"/>
      <c r="E5" s="504"/>
      <c r="F5" s="504"/>
      <c r="G5" s="504"/>
      <c r="H5" s="504"/>
      <c r="I5" s="504"/>
      <c r="J5" s="504"/>
      <c r="K5" s="504"/>
      <c r="L5" s="504"/>
      <c r="M5" s="504"/>
      <c r="N5" s="505"/>
      <c r="O5" s="244"/>
      <c r="P5" s="66"/>
      <c r="Q5" s="66"/>
      <c r="R5" s="66"/>
      <c r="S5" s="66"/>
      <c r="T5" s="66"/>
      <c r="U5" s="66"/>
      <c r="V5" s="66"/>
      <c r="W5" s="66"/>
      <c r="X5" s="66"/>
      <c r="Y5" s="66"/>
      <c r="Z5" s="66"/>
      <c r="AA5" s="66"/>
    </row>
    <row r="6" spans="1:27" ht="45" customHeight="1" x14ac:dyDescent="0.25">
      <c r="B6" s="390"/>
      <c r="C6" s="506"/>
      <c r="D6" s="507"/>
      <c r="E6" s="507"/>
      <c r="F6" s="507"/>
      <c r="G6" s="507"/>
      <c r="H6" s="507"/>
      <c r="I6" s="507"/>
      <c r="J6" s="507"/>
      <c r="K6" s="507"/>
      <c r="L6" s="507"/>
      <c r="M6" s="507"/>
      <c r="N6" s="508"/>
      <c r="O6" s="244"/>
      <c r="P6" s="66"/>
      <c r="Q6" s="66"/>
      <c r="R6" s="66"/>
      <c r="S6" s="66"/>
      <c r="T6" s="66"/>
      <c r="U6" s="66"/>
      <c r="V6" s="66"/>
      <c r="W6" s="66"/>
      <c r="X6" s="66"/>
      <c r="Y6" s="66"/>
      <c r="Z6" s="66"/>
      <c r="AA6" s="66"/>
    </row>
    <row r="7" spans="1:27" ht="22.5" customHeight="1" x14ac:dyDescent="0.25">
      <c r="B7" s="390"/>
      <c r="C7" s="146"/>
      <c r="D7" s="73"/>
      <c r="E7" s="73"/>
      <c r="F7" s="73"/>
      <c r="G7" s="66"/>
      <c r="H7" s="105"/>
      <c r="I7" s="105"/>
      <c r="J7" s="66"/>
      <c r="K7" s="66"/>
      <c r="L7" s="66"/>
      <c r="M7" s="66"/>
      <c r="N7" s="66"/>
      <c r="O7" s="244"/>
      <c r="P7" s="66"/>
      <c r="Q7" s="66"/>
      <c r="R7" s="66"/>
      <c r="S7" s="66"/>
      <c r="T7" s="66"/>
      <c r="U7" s="66"/>
      <c r="V7" s="66"/>
      <c r="W7" s="66"/>
      <c r="X7" s="66"/>
      <c r="Y7" s="66"/>
      <c r="Z7" s="66"/>
      <c r="AA7" s="66"/>
    </row>
    <row r="8" spans="1:27" ht="7.35" customHeight="1" x14ac:dyDescent="0.25">
      <c r="B8" s="390"/>
      <c r="C8" s="509" t="s">
        <v>4</v>
      </c>
      <c r="D8" s="509"/>
      <c r="E8" s="509"/>
      <c r="F8" s="509"/>
      <c r="G8" s="509"/>
      <c r="H8" s="509"/>
      <c r="I8" s="509"/>
      <c r="J8" s="509"/>
      <c r="K8" s="509"/>
      <c r="L8" s="509"/>
      <c r="M8" s="509"/>
      <c r="N8" s="509"/>
      <c r="O8" s="244"/>
      <c r="P8" s="66"/>
      <c r="Q8" s="66"/>
      <c r="R8" s="66"/>
      <c r="S8" s="66"/>
      <c r="T8" s="66"/>
      <c r="U8" s="66"/>
      <c r="V8" s="66"/>
      <c r="W8" s="66"/>
      <c r="X8" s="66"/>
      <c r="Y8" s="66"/>
      <c r="Z8" s="66"/>
      <c r="AA8" s="66"/>
    </row>
    <row r="9" spans="1:27" ht="15.75" customHeight="1" x14ac:dyDescent="0.25">
      <c r="B9" s="390"/>
      <c r="C9" s="509"/>
      <c r="D9" s="509"/>
      <c r="E9" s="509"/>
      <c r="F9" s="509"/>
      <c r="G9" s="509"/>
      <c r="H9" s="509"/>
      <c r="I9" s="509"/>
      <c r="J9" s="509"/>
      <c r="K9" s="509"/>
      <c r="L9" s="509"/>
      <c r="M9" s="509"/>
      <c r="N9" s="509"/>
      <c r="O9" s="244"/>
      <c r="P9" s="66"/>
      <c r="Q9" s="66"/>
      <c r="R9" s="66"/>
      <c r="S9" s="66"/>
      <c r="T9" s="66"/>
      <c r="U9" s="66"/>
      <c r="V9" s="66"/>
      <c r="W9" s="66"/>
      <c r="X9" s="66"/>
      <c r="Y9" s="66"/>
      <c r="Z9" s="66"/>
      <c r="AA9" s="66"/>
    </row>
    <row r="10" spans="1:27" ht="10.5" customHeight="1" x14ac:dyDescent="0.25">
      <c r="B10" s="390"/>
      <c r="C10" s="509"/>
      <c r="D10" s="509"/>
      <c r="E10" s="509"/>
      <c r="F10" s="509"/>
      <c r="G10" s="509"/>
      <c r="H10" s="509"/>
      <c r="I10" s="509"/>
      <c r="J10" s="509"/>
      <c r="K10" s="509"/>
      <c r="L10" s="509"/>
      <c r="M10" s="509"/>
      <c r="N10" s="509"/>
      <c r="O10" s="244"/>
      <c r="P10" s="66"/>
      <c r="Q10" s="66"/>
      <c r="R10" s="66"/>
      <c r="S10" s="66"/>
      <c r="T10" s="66"/>
      <c r="U10" s="66"/>
      <c r="V10" s="66"/>
      <c r="W10" s="66"/>
      <c r="X10" s="66"/>
      <c r="Y10" s="66"/>
      <c r="Z10" s="66"/>
      <c r="AA10" s="66"/>
    </row>
    <row r="11" spans="1:27" ht="22.5" customHeight="1" x14ac:dyDescent="0.25">
      <c r="B11" s="390"/>
      <c r="C11" s="509"/>
      <c r="D11" s="509"/>
      <c r="E11" s="509"/>
      <c r="F11" s="509"/>
      <c r="G11" s="509"/>
      <c r="H11" s="509"/>
      <c r="I11" s="509"/>
      <c r="J11" s="509"/>
      <c r="K11" s="509"/>
      <c r="L11" s="509"/>
      <c r="M11" s="509"/>
      <c r="N11" s="509"/>
      <c r="O11" s="244"/>
      <c r="P11" s="66"/>
      <c r="Q11" s="66"/>
      <c r="R11" s="66"/>
      <c r="S11" s="66"/>
      <c r="T11" s="66"/>
      <c r="U11" s="66"/>
      <c r="V11" s="66"/>
      <c r="W11" s="66"/>
      <c r="X11" s="66"/>
      <c r="Y11" s="66"/>
      <c r="Z11" s="66"/>
      <c r="AA11" s="66"/>
    </row>
    <row r="12" spans="1:27" ht="22.5" customHeight="1" x14ac:dyDescent="0.25">
      <c r="B12" s="390"/>
      <c r="C12" s="509"/>
      <c r="D12" s="509"/>
      <c r="E12" s="509"/>
      <c r="F12" s="509"/>
      <c r="G12" s="509"/>
      <c r="H12" s="509"/>
      <c r="I12" s="509"/>
      <c r="J12" s="509"/>
      <c r="K12" s="509"/>
      <c r="L12" s="509"/>
      <c r="M12" s="509"/>
      <c r="N12" s="509"/>
      <c r="O12" s="244"/>
      <c r="P12" s="66"/>
      <c r="Q12" s="66"/>
      <c r="R12" s="66"/>
      <c r="S12" s="66"/>
      <c r="T12" s="66"/>
      <c r="U12" s="66"/>
      <c r="V12" s="66"/>
      <c r="W12" s="66"/>
      <c r="X12" s="66"/>
      <c r="Y12" s="66"/>
      <c r="Z12" s="66"/>
      <c r="AA12" s="66"/>
    </row>
    <row r="13" spans="1:27" ht="22.5" customHeight="1" x14ac:dyDescent="0.25">
      <c r="B13" s="390"/>
      <c r="C13" s="509"/>
      <c r="D13" s="509"/>
      <c r="E13" s="509"/>
      <c r="F13" s="509"/>
      <c r="G13" s="509"/>
      <c r="H13" s="509"/>
      <c r="I13" s="509"/>
      <c r="J13" s="509"/>
      <c r="K13" s="509"/>
      <c r="L13" s="509"/>
      <c r="M13" s="509"/>
      <c r="N13" s="509"/>
      <c r="O13" s="244"/>
      <c r="P13" s="66"/>
      <c r="Q13" s="66"/>
      <c r="R13" s="66"/>
      <c r="S13" s="66"/>
      <c r="T13" s="66"/>
      <c r="U13" s="66"/>
      <c r="V13" s="66"/>
      <c r="W13" s="66"/>
      <c r="X13" s="66"/>
      <c r="Y13" s="66"/>
      <c r="Z13" s="66"/>
      <c r="AA13" s="66"/>
    </row>
    <row r="14" spans="1:27" ht="27.75" customHeight="1" x14ac:dyDescent="0.25">
      <c r="B14" s="390"/>
      <c r="C14" s="509"/>
      <c r="D14" s="509"/>
      <c r="E14" s="509"/>
      <c r="F14" s="509"/>
      <c r="G14" s="509"/>
      <c r="H14" s="509"/>
      <c r="I14" s="509"/>
      <c r="J14" s="509"/>
      <c r="K14" s="509"/>
      <c r="L14" s="509"/>
      <c r="M14" s="509"/>
      <c r="N14" s="509"/>
      <c r="O14" s="244"/>
      <c r="P14" s="66"/>
      <c r="Q14" s="66"/>
      <c r="R14" s="66"/>
      <c r="S14" s="66"/>
      <c r="T14" s="66"/>
      <c r="U14" s="66"/>
      <c r="V14" s="66"/>
      <c r="W14" s="66"/>
      <c r="X14" s="66"/>
      <c r="Y14" s="66"/>
      <c r="Z14" s="66"/>
      <c r="AA14" s="66"/>
    </row>
    <row r="15" spans="1:27" ht="17.850000000000001" customHeight="1" x14ac:dyDescent="0.25">
      <c r="B15" s="390"/>
      <c r="C15" s="509"/>
      <c r="D15" s="509"/>
      <c r="E15" s="509"/>
      <c r="F15" s="509"/>
      <c r="G15" s="509"/>
      <c r="H15" s="509"/>
      <c r="I15" s="509"/>
      <c r="J15" s="509"/>
      <c r="K15" s="509"/>
      <c r="L15" s="509"/>
      <c r="M15" s="509"/>
      <c r="N15" s="509"/>
      <c r="O15" s="244"/>
      <c r="P15" s="66"/>
      <c r="Q15" s="66"/>
      <c r="R15" s="66"/>
      <c r="S15" s="66"/>
      <c r="T15" s="66"/>
      <c r="U15" s="66"/>
      <c r="V15" s="66"/>
      <c r="W15" s="66"/>
      <c r="X15" s="66"/>
      <c r="Y15" s="66"/>
      <c r="Z15" s="66"/>
      <c r="AA15" s="66"/>
    </row>
    <row r="16" spans="1:27" ht="7.5" customHeight="1" x14ac:dyDescent="0.25">
      <c r="A16" s="390"/>
      <c r="B16" s="390"/>
      <c r="C16" s="509"/>
      <c r="D16" s="509"/>
      <c r="E16" s="509"/>
      <c r="F16" s="509"/>
      <c r="G16" s="509"/>
      <c r="H16" s="509"/>
      <c r="I16" s="509"/>
      <c r="J16" s="509"/>
      <c r="K16" s="509"/>
      <c r="L16" s="509"/>
      <c r="M16" s="509"/>
      <c r="N16" s="509"/>
      <c r="O16" s="244"/>
      <c r="P16" s="159"/>
      <c r="Q16" s="66"/>
      <c r="R16" s="66"/>
      <c r="S16" s="66"/>
      <c r="T16" s="66"/>
      <c r="U16" s="66"/>
      <c r="V16" s="66"/>
      <c r="W16" s="66"/>
      <c r="X16" s="66"/>
      <c r="Y16" s="66"/>
      <c r="Z16" s="66"/>
      <c r="AA16" s="66"/>
    </row>
    <row r="17" spans="1:27" ht="22.5" customHeight="1" x14ac:dyDescent="0.25">
      <c r="A17" s="390"/>
      <c r="B17" s="390"/>
      <c r="C17" s="97"/>
      <c r="D17" s="97"/>
      <c r="E17" s="97"/>
      <c r="F17" s="97"/>
      <c r="G17" s="97"/>
      <c r="H17" s="97"/>
      <c r="I17" s="303"/>
      <c r="J17" s="97"/>
      <c r="K17" s="97"/>
      <c r="L17" s="97"/>
      <c r="M17" s="97"/>
      <c r="N17" s="97"/>
      <c r="O17" s="244"/>
      <c r="P17" s="66"/>
      <c r="Q17" s="66"/>
      <c r="R17" s="66"/>
      <c r="S17" s="66"/>
      <c r="T17" s="66"/>
      <c r="U17" s="66"/>
      <c r="V17" s="66"/>
      <c r="W17" s="66"/>
      <c r="X17" s="66"/>
      <c r="Y17" s="66"/>
      <c r="Z17" s="66"/>
      <c r="AA17" s="66"/>
    </row>
    <row r="18" spans="1:27" ht="22.5" customHeight="1" x14ac:dyDescent="0.25">
      <c r="A18" s="390"/>
      <c r="B18" s="390"/>
      <c r="C18" s="230" t="s">
        <v>5</v>
      </c>
      <c r="D18" s="97"/>
      <c r="E18" s="228"/>
      <c r="F18" s="228"/>
      <c r="G18" s="228"/>
      <c r="H18" s="228"/>
      <c r="I18" s="304"/>
      <c r="J18" s="228"/>
      <c r="K18" s="228"/>
      <c r="L18" s="228"/>
      <c r="M18" s="228"/>
      <c r="N18" s="228"/>
      <c r="O18" s="244"/>
      <c r="P18" s="66"/>
      <c r="Q18" s="66"/>
      <c r="R18" s="66"/>
      <c r="S18" s="66"/>
      <c r="T18" s="66"/>
      <c r="U18" s="66"/>
      <c r="V18" s="66"/>
      <c r="W18" s="66"/>
      <c r="X18" s="66"/>
      <c r="Y18" s="66"/>
      <c r="Z18" s="66"/>
      <c r="AA18" s="66"/>
    </row>
    <row r="19" spans="1:27" ht="41.1" customHeight="1" x14ac:dyDescent="0.25">
      <c r="A19" s="390"/>
      <c r="B19" s="390"/>
      <c r="C19" s="231" t="s">
        <v>640</v>
      </c>
      <c r="D19" s="97"/>
      <c r="E19" s="228" t="s">
        <v>641</v>
      </c>
      <c r="F19" s="97"/>
      <c r="G19" s="228" t="s">
        <v>6</v>
      </c>
      <c r="H19" s="97"/>
      <c r="I19" s="305" t="s">
        <v>7</v>
      </c>
      <c r="J19" s="97"/>
      <c r="K19" s="97"/>
      <c r="L19" s="228" t="s">
        <v>8</v>
      </c>
      <c r="M19" s="228" t="s">
        <v>6</v>
      </c>
      <c r="N19" s="97"/>
      <c r="O19" s="244"/>
      <c r="P19" s="66"/>
      <c r="Q19" s="160"/>
      <c r="R19" s="160"/>
      <c r="S19" s="66"/>
      <c r="T19" s="66"/>
      <c r="U19" s="66"/>
      <c r="V19" s="66"/>
      <c r="W19" s="66"/>
      <c r="X19" s="66"/>
      <c r="Y19" s="66"/>
      <c r="Z19" s="66"/>
      <c r="AA19" s="66"/>
    </row>
    <row r="20" spans="1:27" s="20" customFormat="1" ht="81" customHeight="1" x14ac:dyDescent="0.25">
      <c r="A20" s="372" t="s">
        <v>9</v>
      </c>
      <c r="B20" s="372" t="s">
        <v>10</v>
      </c>
      <c r="C20" s="19" t="s">
        <v>11</v>
      </c>
      <c r="D20" s="19" t="s">
        <v>12</v>
      </c>
      <c r="E20" s="19" t="s">
        <v>13</v>
      </c>
      <c r="F20" s="19" t="s">
        <v>14</v>
      </c>
      <c r="G20" s="19" t="s">
        <v>15</v>
      </c>
      <c r="H20" s="54" t="s">
        <v>16</v>
      </c>
      <c r="I20" s="19" t="s">
        <v>17</v>
      </c>
      <c r="J20" s="19" t="s">
        <v>18</v>
      </c>
      <c r="K20" s="19" t="s">
        <v>19</v>
      </c>
      <c r="L20" s="19" t="s">
        <v>20</v>
      </c>
      <c r="M20" s="19" t="s">
        <v>21</v>
      </c>
      <c r="N20" s="19" t="s">
        <v>22</v>
      </c>
      <c r="O20" s="245"/>
      <c r="P20" s="161"/>
      <c r="Q20" s="161"/>
      <c r="R20" s="161"/>
      <c r="S20" s="147"/>
      <c r="T20" s="147"/>
      <c r="U20" s="147"/>
      <c r="V20" s="147"/>
      <c r="W20" s="147"/>
      <c r="X20" s="147"/>
      <c r="Y20" s="147"/>
      <c r="Z20" s="147"/>
      <c r="AA20" s="147"/>
    </row>
    <row r="21" spans="1:27" ht="20.100000000000001" customHeight="1" x14ac:dyDescent="0.25">
      <c r="A21" s="376"/>
      <c r="B21" s="376"/>
      <c r="C21" s="16" t="s">
        <v>23</v>
      </c>
      <c r="D21" s="64"/>
      <c r="E21" s="64"/>
      <c r="F21" s="64"/>
      <c r="G21" s="64"/>
      <c r="H21" s="199"/>
      <c r="I21" s="212"/>
      <c r="J21" s="17"/>
      <c r="K21" s="17"/>
      <c r="L21" s="17"/>
      <c r="M21" s="17"/>
      <c r="N21" s="18"/>
      <c r="O21" s="244"/>
      <c r="P21" s="233"/>
      <c r="Q21" s="193"/>
      <c r="R21" s="193"/>
      <c r="S21" s="66"/>
      <c r="T21" s="66"/>
      <c r="U21" s="66"/>
      <c r="V21" s="66"/>
      <c r="W21" s="66"/>
      <c r="X21" s="66"/>
      <c r="Y21" s="66"/>
      <c r="Z21" s="66"/>
      <c r="AA21" s="66"/>
    </row>
    <row r="22" spans="1:27" ht="15" customHeight="1" x14ac:dyDescent="0.25">
      <c r="A22" s="376"/>
      <c r="B22" s="376"/>
      <c r="C22" s="1" t="s">
        <v>24</v>
      </c>
      <c r="D22" s="200">
        <f t="shared" ref="D22:E24" si="0">D39+D57</f>
        <v>137202.66999999998</v>
      </c>
      <c r="E22" s="200">
        <f t="shared" si="0"/>
        <v>227183.28</v>
      </c>
      <c r="F22" s="200">
        <f>E22</f>
        <v>227183.28</v>
      </c>
      <c r="G22" s="201">
        <f>G39+G57</f>
        <v>205356.40999999997</v>
      </c>
      <c r="H22" s="86">
        <f t="shared" ref="H22:H69" si="1">IF(AND(ISNUMBER(G22)=TRUE,G22&lt;&gt;0),D22/G22,"N/A")</f>
        <v>0.66811973388120682</v>
      </c>
      <c r="I22" s="306">
        <f>I23+I24</f>
        <v>43888353.929999992</v>
      </c>
      <c r="J22" s="215">
        <f t="shared" ref="J22:M24" si="2">J39+J57</f>
        <v>28527430.054499999</v>
      </c>
      <c r="K22" s="215">
        <f t="shared" si="2"/>
        <v>15360923.875499997</v>
      </c>
      <c r="L22" s="215">
        <f t="shared" si="2"/>
        <v>73384744.001050159</v>
      </c>
      <c r="M22" s="215">
        <f t="shared" si="2"/>
        <v>70877350.526087612</v>
      </c>
      <c r="N22" s="87">
        <f t="shared" ref="N22:N36" si="3">IFERROR(I22/M22,"N/A")</f>
        <v>0.61921549838190038</v>
      </c>
      <c r="P22" s="162"/>
      <c r="Q22" s="66"/>
      <c r="R22" s="66"/>
      <c r="S22" s="66"/>
      <c r="T22" s="66"/>
      <c r="U22" s="66"/>
      <c r="V22" s="66"/>
      <c r="W22" s="66"/>
      <c r="X22" s="66"/>
      <c r="Y22" s="66"/>
      <c r="Z22" s="66"/>
      <c r="AA22" s="66"/>
    </row>
    <row r="23" spans="1:27" ht="15" customHeight="1" x14ac:dyDescent="0.25">
      <c r="A23" s="381"/>
      <c r="B23" s="381"/>
      <c r="C23" s="191" t="s">
        <v>25</v>
      </c>
      <c r="D23" s="200">
        <f t="shared" si="0"/>
        <v>131158.78999999998</v>
      </c>
      <c r="E23" s="200">
        <f t="shared" si="0"/>
        <v>210483.28</v>
      </c>
      <c r="F23" s="200">
        <f>E23</f>
        <v>210483.28</v>
      </c>
      <c r="G23" s="201">
        <f>G40+G58</f>
        <v>192119.52999999997</v>
      </c>
      <c r="H23" s="86">
        <f t="shared" si="1"/>
        <v>0.68269368554045495</v>
      </c>
      <c r="I23" s="306">
        <f>I40+I58</f>
        <v>39591980.379999995</v>
      </c>
      <c r="J23" s="215">
        <f t="shared" si="2"/>
        <v>25734787.247000001</v>
      </c>
      <c r="K23" s="215">
        <f t="shared" si="2"/>
        <v>13857193.132999998</v>
      </c>
      <c r="L23" s="215">
        <f t="shared" si="2"/>
        <v>63777220.001050159</v>
      </c>
      <c r="M23" s="215">
        <f t="shared" si="2"/>
        <v>62243468.74000001</v>
      </c>
      <c r="N23" s="87">
        <f t="shared" si="3"/>
        <v>0.63608248674863277</v>
      </c>
      <c r="O23" s="245"/>
      <c r="P23" s="163"/>
      <c r="Q23" s="66"/>
      <c r="R23" s="66"/>
      <c r="S23" s="66"/>
      <c r="T23" s="66"/>
      <c r="U23" s="66"/>
      <c r="V23" s="66"/>
      <c r="W23" s="66"/>
      <c r="X23" s="66"/>
      <c r="Y23" s="66"/>
      <c r="Z23" s="66"/>
      <c r="AA23" s="66"/>
    </row>
    <row r="24" spans="1:27" ht="15" customHeight="1" x14ac:dyDescent="0.25">
      <c r="A24" s="381"/>
      <c r="B24" s="381"/>
      <c r="C24" s="191" t="s">
        <v>26</v>
      </c>
      <c r="D24" s="200">
        <f t="shared" si="0"/>
        <v>6043.88</v>
      </c>
      <c r="E24" s="200">
        <f t="shared" si="0"/>
        <v>16700</v>
      </c>
      <c r="F24" s="200">
        <f t="shared" ref="F24:F31" si="4">E24</f>
        <v>16700</v>
      </c>
      <c r="G24" s="201">
        <f>G41+G59</f>
        <v>13236.88</v>
      </c>
      <c r="H24" s="86">
        <f t="shared" si="1"/>
        <v>0.45659400100325759</v>
      </c>
      <c r="I24" s="306">
        <f>I41+I59</f>
        <v>4296373.55</v>
      </c>
      <c r="J24" s="215">
        <f t="shared" si="2"/>
        <v>2792642.8075000001</v>
      </c>
      <c r="K24" s="215">
        <f t="shared" si="2"/>
        <v>1503730.7424999997</v>
      </c>
      <c r="L24" s="215">
        <f t="shared" si="2"/>
        <v>9607524</v>
      </c>
      <c r="M24" s="215">
        <f t="shared" si="2"/>
        <v>8633881.7860876136</v>
      </c>
      <c r="N24" s="87">
        <f t="shared" si="3"/>
        <v>0.497617833605627</v>
      </c>
      <c r="O24" s="245"/>
      <c r="P24" s="233"/>
      <c r="Q24" s="193"/>
      <c r="R24" s="193"/>
      <c r="S24" s="66"/>
      <c r="T24" s="66"/>
      <c r="U24" s="66"/>
      <c r="V24" s="66"/>
      <c r="W24" s="66"/>
      <c r="X24" s="66"/>
      <c r="Y24" s="66"/>
      <c r="Z24" s="66"/>
      <c r="AA24" s="66"/>
    </row>
    <row r="25" spans="1:27" ht="15" hidden="1" customHeight="1" x14ac:dyDescent="0.25">
      <c r="A25" s="376"/>
      <c r="B25" s="376"/>
      <c r="C25" s="191" t="s">
        <v>27</v>
      </c>
      <c r="D25" s="200" t="str">
        <f>D42</f>
        <v>N/A</v>
      </c>
      <c r="E25" s="200">
        <f>E42</f>
        <v>0</v>
      </c>
      <c r="F25" s="200">
        <f>E25</f>
        <v>0</v>
      </c>
      <c r="G25" s="201">
        <f>G42</f>
        <v>0</v>
      </c>
      <c r="H25" s="86" t="str">
        <f t="shared" si="1"/>
        <v>N/A</v>
      </c>
      <c r="I25" s="306" t="e">
        <f>I42</f>
        <v>#N/A</v>
      </c>
      <c r="J25" s="215">
        <f>J42</f>
        <v>0</v>
      </c>
      <c r="K25" s="215">
        <f>K42</f>
        <v>0</v>
      </c>
      <c r="L25" s="215" t="e">
        <f>L42</f>
        <v>#N/A</v>
      </c>
      <c r="M25" s="215">
        <f>M42</f>
        <v>0</v>
      </c>
      <c r="N25" s="87" t="str">
        <f t="shared" si="3"/>
        <v>N/A</v>
      </c>
      <c r="O25" s="245"/>
      <c r="P25" s="162"/>
      <c r="Q25" s="66"/>
      <c r="R25" s="66"/>
      <c r="S25" s="66"/>
      <c r="T25" s="66"/>
      <c r="U25" s="66"/>
      <c r="V25" s="66"/>
      <c r="W25" s="66"/>
      <c r="X25" s="66"/>
      <c r="Y25" s="66"/>
      <c r="Z25" s="66"/>
      <c r="AA25" s="66"/>
    </row>
    <row r="26" spans="1:27" ht="15" customHeight="1" x14ac:dyDescent="0.25">
      <c r="A26" s="381"/>
      <c r="B26" s="381"/>
      <c r="C26" s="1" t="s">
        <v>28</v>
      </c>
      <c r="D26" s="200">
        <f>D44+D60</f>
        <v>114756.86000000002</v>
      </c>
      <c r="E26" s="200">
        <f>E44+E60</f>
        <v>248979.42804199998</v>
      </c>
      <c r="F26" s="200">
        <f>E26</f>
        <v>248979.42804199998</v>
      </c>
      <c r="G26" s="201">
        <f>G44+G60</f>
        <v>214363.84</v>
      </c>
      <c r="H26" s="86">
        <f t="shared" si="1"/>
        <v>0.53533683666051146</v>
      </c>
      <c r="I26" s="306">
        <f>I44+I60</f>
        <v>37742450.340000004</v>
      </c>
      <c r="J26" s="215">
        <f t="shared" ref="J26:M27" si="5">J44+J60</f>
        <v>24532592.721000001</v>
      </c>
      <c r="K26" s="215">
        <f t="shared" si="5"/>
        <v>13209857.618999999</v>
      </c>
      <c r="L26" s="215">
        <f t="shared" si="5"/>
        <v>88430033.813720003</v>
      </c>
      <c r="M26" s="215">
        <f t="shared" si="5"/>
        <v>77726605.489999995</v>
      </c>
      <c r="N26" s="87">
        <f t="shared" si="3"/>
        <v>0.48557955287080951</v>
      </c>
      <c r="O26" s="245"/>
      <c r="P26" s="163"/>
      <c r="Q26" s="66"/>
      <c r="R26" s="66"/>
      <c r="S26" s="66"/>
      <c r="T26" s="66"/>
      <c r="U26" s="66"/>
      <c r="V26" s="66"/>
      <c r="W26" s="66"/>
      <c r="X26" s="66"/>
      <c r="Y26" s="66"/>
      <c r="Z26" s="66"/>
      <c r="AA26" s="66"/>
    </row>
    <row r="27" spans="1:27" ht="15" customHeight="1" x14ac:dyDescent="0.25">
      <c r="A27" s="381"/>
      <c r="B27" s="381"/>
      <c r="C27" s="1" t="s">
        <v>29</v>
      </c>
      <c r="D27" s="200">
        <f>D45+D61</f>
        <v>97320</v>
      </c>
      <c r="E27" s="200">
        <f>E45+E61</f>
        <v>109097</v>
      </c>
      <c r="F27" s="200">
        <f t="shared" si="4"/>
        <v>109097</v>
      </c>
      <c r="G27" s="201">
        <f>G45+G61</f>
        <v>139856</v>
      </c>
      <c r="H27" s="86">
        <f t="shared" si="1"/>
        <v>0.69585859741448342</v>
      </c>
      <c r="I27" s="306">
        <f>I45+I61</f>
        <v>14907708.960000001</v>
      </c>
      <c r="J27" s="215">
        <f t="shared" si="5"/>
        <v>9690010.824000001</v>
      </c>
      <c r="K27" s="215">
        <f t="shared" si="5"/>
        <v>5217698.135999999</v>
      </c>
      <c r="L27" s="215">
        <f t="shared" si="5"/>
        <v>15307867.246371273</v>
      </c>
      <c r="M27" s="215">
        <f t="shared" si="5"/>
        <v>23207729.193543062</v>
      </c>
      <c r="N27" s="87">
        <f t="shared" si="3"/>
        <v>0.64235965680552998</v>
      </c>
      <c r="O27" s="245"/>
      <c r="P27" s="233"/>
      <c r="Q27" s="193"/>
      <c r="R27" s="193"/>
      <c r="S27" s="66"/>
      <c r="T27" s="66"/>
      <c r="U27" s="66"/>
      <c r="V27" s="66"/>
      <c r="W27" s="66"/>
      <c r="X27" s="66"/>
      <c r="Y27" s="66"/>
      <c r="Z27" s="66"/>
      <c r="AA27" s="66"/>
    </row>
    <row r="28" spans="1:27" ht="15" customHeight="1" x14ac:dyDescent="0.25">
      <c r="A28" s="376"/>
      <c r="B28" s="376"/>
      <c r="C28" s="1" t="s">
        <v>30</v>
      </c>
      <c r="D28" s="200">
        <f>D50+D65</f>
        <v>4743.32</v>
      </c>
      <c r="E28" s="200">
        <f>E50+E65</f>
        <v>6037</v>
      </c>
      <c r="F28" s="200">
        <f t="shared" si="4"/>
        <v>6037</v>
      </c>
      <c r="G28" s="200">
        <f>G50+G65</f>
        <v>5784.32</v>
      </c>
      <c r="H28" s="86">
        <f t="shared" si="1"/>
        <v>0.8200307036955079</v>
      </c>
      <c r="I28" s="307">
        <f>I50+I65</f>
        <v>2686038.1300000004</v>
      </c>
      <c r="J28" s="215">
        <f>J50+J65</f>
        <v>1745924.7845000003</v>
      </c>
      <c r="K28" s="215">
        <f>K50+K65</f>
        <v>940113.34550000005</v>
      </c>
      <c r="L28" s="215">
        <f>L50+L65</f>
        <v>3231401.5246435269</v>
      </c>
      <c r="M28" s="215">
        <f>M50+M65</f>
        <v>3214129.3367994353</v>
      </c>
      <c r="N28" s="87">
        <f t="shared" si="3"/>
        <v>0.83569696441484909</v>
      </c>
      <c r="O28" s="245"/>
      <c r="P28" s="162"/>
      <c r="Q28" s="66"/>
      <c r="R28" s="66"/>
      <c r="S28" s="66"/>
      <c r="T28" s="66"/>
      <c r="U28" s="66"/>
      <c r="V28" s="66"/>
      <c r="W28" s="66"/>
      <c r="X28" s="66"/>
      <c r="Y28" s="66"/>
      <c r="Z28" s="66"/>
      <c r="AA28" s="66"/>
    </row>
    <row r="29" spans="1:27" ht="15" customHeight="1" x14ac:dyDescent="0.25">
      <c r="A29" s="376"/>
      <c r="B29" s="376"/>
      <c r="C29" s="1" t="s">
        <v>31</v>
      </c>
      <c r="D29" s="200">
        <f>D47</f>
        <v>30496.3</v>
      </c>
      <c r="E29" s="200">
        <f>E47</f>
        <v>52245</v>
      </c>
      <c r="F29" s="200">
        <f t="shared" si="4"/>
        <v>52245</v>
      </c>
      <c r="G29" s="200">
        <f>G47</f>
        <v>52278.3</v>
      </c>
      <c r="H29" s="86">
        <f>IF(AND(ISNUMBER(G29)=TRUE,G29&lt;&gt;0),D29/G29,"N/A")</f>
        <v>0.58334528858053913</v>
      </c>
      <c r="I29" s="307">
        <f>I47</f>
        <v>7555650.4900000002</v>
      </c>
      <c r="J29" s="215">
        <f>J47</f>
        <v>4911172.8185000001</v>
      </c>
      <c r="K29" s="215">
        <f>K47</f>
        <v>2644477.6715000002</v>
      </c>
      <c r="L29" s="215">
        <f>L47</f>
        <v>17115684</v>
      </c>
      <c r="M29" s="215">
        <f>M47</f>
        <v>14950360.800000001</v>
      </c>
      <c r="N29" s="87">
        <f t="shared" si="3"/>
        <v>0.50538248481601866</v>
      </c>
      <c r="O29" s="245"/>
      <c r="P29" s="163"/>
      <c r="Q29" s="66"/>
      <c r="R29" s="66"/>
      <c r="S29" s="66"/>
      <c r="T29" s="66"/>
      <c r="U29" s="66"/>
      <c r="V29" s="66"/>
      <c r="W29" s="66"/>
      <c r="X29" s="66"/>
      <c r="Y29" s="66"/>
      <c r="Z29" s="66"/>
      <c r="AA29" s="66"/>
    </row>
    <row r="30" spans="1:27" ht="15" customHeight="1" x14ac:dyDescent="0.25">
      <c r="A30" s="376"/>
      <c r="B30" s="376"/>
      <c r="C30" s="1" t="s">
        <v>32</v>
      </c>
      <c r="D30" s="200">
        <f>D48+D63</f>
        <v>22182.809999999998</v>
      </c>
      <c r="E30" s="200">
        <f>E48+E63</f>
        <v>49713</v>
      </c>
      <c r="F30" s="200">
        <f t="shared" si="4"/>
        <v>49713</v>
      </c>
      <c r="G30" s="200">
        <f>G48+G63</f>
        <v>43792.81</v>
      </c>
      <c r="H30" s="86">
        <f t="shared" si="1"/>
        <v>0.5065400005160664</v>
      </c>
      <c r="I30" s="307">
        <f>I48+I63</f>
        <v>7791892.2600000007</v>
      </c>
      <c r="J30" s="215">
        <f t="shared" ref="J30:M31" si="6">J48+J63</f>
        <v>5064729.9690000005</v>
      </c>
      <c r="K30" s="215">
        <f t="shared" si="6"/>
        <v>2727162.2910000002</v>
      </c>
      <c r="L30" s="215">
        <f t="shared" si="6"/>
        <v>17356099</v>
      </c>
      <c r="M30" s="215">
        <f t="shared" si="6"/>
        <v>14770915.480000002</v>
      </c>
      <c r="N30" s="87">
        <f t="shared" si="3"/>
        <v>0.52751586525224636</v>
      </c>
      <c r="O30" s="245"/>
      <c r="P30" s="233"/>
      <c r="Q30" s="193"/>
      <c r="R30" s="193"/>
      <c r="S30" s="66"/>
      <c r="T30" s="66"/>
      <c r="U30" s="66"/>
      <c r="V30" s="66"/>
      <c r="W30" s="66"/>
      <c r="X30" s="66"/>
      <c r="Y30" s="66"/>
      <c r="Z30" s="66"/>
      <c r="AA30" s="66"/>
    </row>
    <row r="31" spans="1:27" ht="15" customHeight="1" x14ac:dyDescent="0.25">
      <c r="A31" s="376"/>
      <c r="B31" s="376"/>
      <c r="C31" s="1" t="s">
        <v>33</v>
      </c>
      <c r="D31" s="200">
        <f>D49+D64</f>
        <v>8959.34</v>
      </c>
      <c r="E31" s="200">
        <f>E49+E64</f>
        <v>45412</v>
      </c>
      <c r="F31" s="200">
        <f t="shared" si="4"/>
        <v>45412</v>
      </c>
      <c r="G31" s="200">
        <f>G49+G64</f>
        <v>45413.34</v>
      </c>
      <c r="H31" s="86">
        <f t="shared" si="1"/>
        <v>0.19728432218374603</v>
      </c>
      <c r="I31" s="307">
        <f>I49+I64</f>
        <v>6062304.4199999999</v>
      </c>
      <c r="J31" s="215">
        <f t="shared" si="6"/>
        <v>0</v>
      </c>
      <c r="K31" s="215">
        <f t="shared" si="6"/>
        <v>6062304.4199999999</v>
      </c>
      <c r="L31" s="215">
        <f t="shared" si="6"/>
        <v>9827382.9209528416</v>
      </c>
      <c r="M31" s="215">
        <f t="shared" si="6"/>
        <v>9868030.3399999999</v>
      </c>
      <c r="N31" s="87">
        <f t="shared" si="3"/>
        <v>0.61433783755472315</v>
      </c>
      <c r="O31" s="245"/>
      <c r="P31" s="162"/>
      <c r="Q31" s="66"/>
      <c r="R31" s="66"/>
      <c r="S31" s="66"/>
      <c r="T31" s="66"/>
      <c r="U31" s="66"/>
      <c r="V31" s="66"/>
      <c r="W31" s="66"/>
      <c r="X31" s="66"/>
      <c r="Y31" s="66"/>
      <c r="Z31" s="66"/>
      <c r="AA31" s="66"/>
    </row>
    <row r="32" spans="1:27" ht="15" customHeight="1" x14ac:dyDescent="0.25">
      <c r="A32" s="376"/>
      <c r="B32" s="376"/>
      <c r="C32" s="1" t="s">
        <v>34</v>
      </c>
      <c r="D32" s="200" t="str">
        <f>IFERROR(D51+D66,"N/A")</f>
        <v>N/A</v>
      </c>
      <c r="E32" s="200" t="str">
        <f t="shared" ref="E32:M32" si="7">IFERROR(E51+E66,"N/A")</f>
        <v>N/A</v>
      </c>
      <c r="F32" s="200" t="str">
        <f t="shared" si="7"/>
        <v>N/A</v>
      </c>
      <c r="G32" s="200" t="str">
        <f t="shared" si="7"/>
        <v>N/A</v>
      </c>
      <c r="H32" s="200" t="str">
        <f t="shared" si="7"/>
        <v>N/A</v>
      </c>
      <c r="I32" s="307">
        <f>IFERROR(I51+I66,"N/A")</f>
        <v>631868.80000000005</v>
      </c>
      <c r="J32" s="215">
        <f t="shared" si="7"/>
        <v>410714.72000000009</v>
      </c>
      <c r="K32" s="215">
        <f t="shared" si="7"/>
        <v>221154.07999999996</v>
      </c>
      <c r="L32" s="215">
        <f t="shared" si="7"/>
        <v>1699999.5599999998</v>
      </c>
      <c r="M32" s="215">
        <f t="shared" si="7"/>
        <v>1193467.3700000001</v>
      </c>
      <c r="N32" s="87">
        <f t="shared" si="3"/>
        <v>0.52943952711501441</v>
      </c>
      <c r="O32" s="245"/>
      <c r="P32" s="163"/>
      <c r="Q32" s="66"/>
      <c r="R32" s="66"/>
      <c r="S32" s="66"/>
      <c r="T32" s="66"/>
      <c r="U32" s="66"/>
      <c r="V32" s="66"/>
      <c r="W32" s="66"/>
      <c r="X32" s="66"/>
      <c r="Y32" s="66"/>
      <c r="Z32" s="66"/>
      <c r="AA32" s="66"/>
    </row>
    <row r="33" spans="1:27" ht="15" customHeight="1" x14ac:dyDescent="0.25">
      <c r="A33" s="376"/>
      <c r="B33" s="376"/>
      <c r="C33" s="1" t="s">
        <v>35</v>
      </c>
      <c r="D33" s="200">
        <f>D52+D67</f>
        <v>867.17000000000007</v>
      </c>
      <c r="E33" s="200">
        <f>E52+E67</f>
        <v>1509</v>
      </c>
      <c r="F33" s="200">
        <f>E33</f>
        <v>1509</v>
      </c>
      <c r="G33" s="200">
        <f>G52+G67</f>
        <v>1374.4</v>
      </c>
      <c r="H33" s="86">
        <f t="shared" ref="H33:H36" si="8">IF(AND(ISNUMBER(G33)=TRUE,G33&lt;&gt;0),D33/G33,"N/A")</f>
        <v>0.63094441210710128</v>
      </c>
      <c r="I33" s="307">
        <f>I52+I67</f>
        <v>349491.70999999996</v>
      </c>
      <c r="J33" s="215">
        <f t="shared" ref="J33:M33" si="9">J52+J67</f>
        <v>0</v>
      </c>
      <c r="K33" s="215">
        <f t="shared" si="9"/>
        <v>349491.70999999996</v>
      </c>
      <c r="L33" s="215">
        <f t="shared" si="9"/>
        <v>481031.92</v>
      </c>
      <c r="M33" s="215">
        <f t="shared" si="9"/>
        <v>513364.18666666665</v>
      </c>
      <c r="N33" s="87">
        <f t="shared" si="3"/>
        <v>0.68078708853706815</v>
      </c>
      <c r="O33" s="245"/>
      <c r="P33" s="233"/>
      <c r="Q33" s="193"/>
      <c r="R33" s="193"/>
      <c r="S33" s="66"/>
      <c r="T33" s="66"/>
      <c r="U33" s="66"/>
      <c r="V33" s="66"/>
      <c r="W33" s="66"/>
      <c r="X33" s="66"/>
      <c r="Y33" s="66"/>
      <c r="Z33" s="66"/>
      <c r="AA33" s="66"/>
    </row>
    <row r="34" spans="1:27" ht="15" customHeight="1" x14ac:dyDescent="0.25">
      <c r="A34" s="376"/>
      <c r="B34" s="376"/>
      <c r="C34" s="1" t="s">
        <v>36</v>
      </c>
      <c r="D34" s="200">
        <f>D46</f>
        <v>0</v>
      </c>
      <c r="E34" s="200">
        <f t="shared" ref="E34:H34" si="10">E46</f>
        <v>16700</v>
      </c>
      <c r="F34" s="200">
        <f t="shared" si="10"/>
        <v>16700</v>
      </c>
      <c r="G34" s="200">
        <f t="shared" si="10"/>
        <v>0</v>
      </c>
      <c r="H34" s="86" t="str">
        <f t="shared" si="10"/>
        <v>N/A</v>
      </c>
      <c r="I34" s="307" t="str">
        <f>I46</f>
        <v>N/A</v>
      </c>
      <c r="J34" s="200" t="str">
        <f>J46</f>
        <v>N/A</v>
      </c>
      <c r="K34" s="200" t="str">
        <f t="shared" ref="K34:N34" si="11">K46</f>
        <v>N/A</v>
      </c>
      <c r="L34" s="200" t="str">
        <f t="shared" si="11"/>
        <v>N/A</v>
      </c>
      <c r="M34" s="200" t="str">
        <f t="shared" si="11"/>
        <v>N/A</v>
      </c>
      <c r="N34" s="200" t="str">
        <f t="shared" si="11"/>
        <v>N/A</v>
      </c>
      <c r="O34" s="245"/>
      <c r="P34" s="162"/>
      <c r="Q34" s="66"/>
      <c r="R34" s="66"/>
      <c r="S34" s="66"/>
      <c r="T34" s="66"/>
      <c r="U34" s="66"/>
      <c r="V34" s="66"/>
      <c r="W34" s="66"/>
      <c r="X34" s="66"/>
      <c r="Y34" s="66"/>
      <c r="Z34" s="66"/>
      <c r="AA34" s="66"/>
    </row>
    <row r="35" spans="1:27" ht="15" customHeight="1" x14ac:dyDescent="0.25">
      <c r="A35" s="376"/>
      <c r="B35" s="376"/>
      <c r="C35" s="1" t="s">
        <v>37</v>
      </c>
      <c r="D35" s="84" t="s">
        <v>38</v>
      </c>
      <c r="E35" s="84" t="s">
        <v>38</v>
      </c>
      <c r="F35" s="84" t="str">
        <f>E35</f>
        <v>N/A</v>
      </c>
      <c r="G35" s="84" t="s">
        <v>38</v>
      </c>
      <c r="H35" s="86" t="str">
        <f t="shared" si="8"/>
        <v>N/A</v>
      </c>
      <c r="I35" s="307">
        <f>I53+I68</f>
        <v>4860574.71</v>
      </c>
      <c r="J35" s="215">
        <f t="shared" ref="J35:M35" si="12">J53+J68</f>
        <v>0</v>
      </c>
      <c r="K35" s="215">
        <f t="shared" si="12"/>
        <v>4860574.71</v>
      </c>
      <c r="L35" s="215">
        <f t="shared" si="12"/>
        <v>8036241.0000000019</v>
      </c>
      <c r="M35" s="215">
        <f t="shared" si="12"/>
        <v>10531790.139999999</v>
      </c>
      <c r="N35" s="87">
        <f t="shared" si="3"/>
        <v>0.46151458065418693</v>
      </c>
      <c r="O35" s="245"/>
      <c r="P35" s="163"/>
      <c r="Q35" s="66"/>
      <c r="R35" s="66"/>
      <c r="S35" s="66"/>
      <c r="T35" s="66"/>
      <c r="U35" s="66"/>
      <c r="V35" s="66"/>
      <c r="W35" s="66"/>
      <c r="X35" s="66"/>
      <c r="Y35" s="66"/>
      <c r="Z35" s="66"/>
      <c r="AA35" s="66"/>
    </row>
    <row r="36" spans="1:27" ht="15" x14ac:dyDescent="0.25">
      <c r="A36" s="376"/>
      <c r="B36" s="376"/>
      <c r="C36" s="1" t="s">
        <v>39</v>
      </c>
      <c r="D36" s="84" t="s">
        <v>38</v>
      </c>
      <c r="E36" s="84" t="s">
        <v>38</v>
      </c>
      <c r="F36" s="84" t="str">
        <f>E36</f>
        <v>N/A</v>
      </c>
      <c r="G36" s="84" t="s">
        <v>38</v>
      </c>
      <c r="H36" s="86" t="str">
        <f t="shared" si="8"/>
        <v>N/A</v>
      </c>
      <c r="I36" s="307">
        <f>I54</f>
        <v>58415.21</v>
      </c>
      <c r="J36" s="215">
        <f>J54</f>
        <v>0</v>
      </c>
      <c r="K36" s="215">
        <f>K54</f>
        <v>58415.21</v>
      </c>
      <c r="L36" s="215">
        <f>L54</f>
        <v>50000</v>
      </c>
      <c r="M36" s="215">
        <f>M54</f>
        <v>50000.17</v>
      </c>
      <c r="N36" s="87">
        <f t="shared" si="3"/>
        <v>1.1683002277792256</v>
      </c>
      <c r="O36" s="245"/>
      <c r="P36" s="233"/>
      <c r="Q36" s="193"/>
      <c r="R36" s="193"/>
      <c r="S36" s="66"/>
      <c r="T36" s="66"/>
      <c r="U36" s="66"/>
      <c r="V36" s="66"/>
      <c r="W36" s="66"/>
      <c r="X36" s="66"/>
      <c r="Y36" s="66"/>
      <c r="Z36" s="66"/>
      <c r="AA36" s="66"/>
    </row>
    <row r="37" spans="1:27" ht="20.100000000000001" customHeight="1" x14ac:dyDescent="0.25">
      <c r="A37" s="376"/>
      <c r="B37" s="376"/>
      <c r="C37" s="2" t="s">
        <v>40</v>
      </c>
      <c r="D37" s="202">
        <f>SUM(D22,D26:D36)</f>
        <v>416528.47000000003</v>
      </c>
      <c r="E37" s="202">
        <f>SUM(E22,E26:E36)</f>
        <v>756875.70804199995</v>
      </c>
      <c r="F37" s="202">
        <f>SUM(F22,F26:F36)</f>
        <v>756875.70804199995</v>
      </c>
      <c r="G37" s="202">
        <f>SUM(G22,G26:G36)</f>
        <v>708219.41999999993</v>
      </c>
      <c r="H37" s="85">
        <f t="shared" si="1"/>
        <v>0.58813477608394316</v>
      </c>
      <c r="I37" s="308">
        <f>SUM(I22,I26:I36)</f>
        <v>126534748.95999996</v>
      </c>
      <c r="J37" s="216">
        <f>SUM(J22,J26:J36)</f>
        <v>74882575.891499996</v>
      </c>
      <c r="K37" s="216">
        <f>SUM(K22,K26:K36)</f>
        <v>51652173.068499997</v>
      </c>
      <c r="L37" s="216">
        <f>SUM(L22,L26:L36)</f>
        <v>234920484.98673782</v>
      </c>
      <c r="M37" s="216">
        <f>SUM(M22,M26:M36)</f>
        <v>226903743.03309676</v>
      </c>
      <c r="N37" s="190">
        <f>I37/M37</f>
        <v>0.55765827072118102</v>
      </c>
      <c r="O37" s="245"/>
      <c r="P37" s="162"/>
      <c r="Q37" s="66"/>
      <c r="R37" s="66"/>
      <c r="S37" s="66"/>
      <c r="T37" s="66"/>
      <c r="U37" s="66"/>
      <c r="V37" s="66"/>
      <c r="W37" s="66"/>
      <c r="X37" s="66"/>
      <c r="Y37" s="66"/>
      <c r="Z37" s="66"/>
      <c r="AA37" s="66"/>
    </row>
    <row r="38" spans="1:27" ht="20.100000000000001" customHeight="1" x14ac:dyDescent="0.25">
      <c r="A38" s="376"/>
      <c r="B38" s="376"/>
      <c r="C38" s="196" t="s">
        <v>41</v>
      </c>
      <c r="D38" s="207"/>
      <c r="E38" s="207"/>
      <c r="F38" s="207"/>
      <c r="G38" s="207"/>
      <c r="H38" s="207"/>
      <c r="I38" s="207"/>
      <c r="J38" s="197"/>
      <c r="K38" s="197"/>
      <c r="L38" s="197"/>
      <c r="M38" s="197"/>
      <c r="N38" s="198"/>
      <c r="O38" s="245"/>
      <c r="P38" s="163"/>
      <c r="Q38" s="66"/>
      <c r="R38" s="66"/>
      <c r="S38" s="66"/>
      <c r="T38" s="66"/>
      <c r="U38" s="66"/>
      <c r="V38" s="66"/>
      <c r="W38" s="66"/>
      <c r="X38" s="66"/>
      <c r="Y38" s="66"/>
      <c r="Z38" s="66"/>
      <c r="AA38" s="66"/>
    </row>
    <row r="39" spans="1:27" ht="15" x14ac:dyDescent="0.25">
      <c r="A39" s="376"/>
      <c r="B39" s="376"/>
      <c r="C39" s="1" t="s">
        <v>42</v>
      </c>
      <c r="D39" s="84">
        <f>SUM(D40:D42)</f>
        <v>122185.37999999999</v>
      </c>
      <c r="E39" s="84">
        <f>E40+E41+E42</f>
        <v>189724</v>
      </c>
      <c r="F39" s="203">
        <f t="shared" ref="F39:F50" si="13">E39</f>
        <v>189724</v>
      </c>
      <c r="G39" s="203">
        <f>SUM(G40:G41)</f>
        <v>175814.56999999998</v>
      </c>
      <c r="H39" s="86">
        <f t="shared" si="1"/>
        <v>0.69496731698629988</v>
      </c>
      <c r="I39" s="307">
        <f>SUM(I40:I41)</f>
        <v>37483117.979999997</v>
      </c>
      <c r="J39" s="215">
        <f>SUM(J40:J41)</f>
        <v>24364026.686999999</v>
      </c>
      <c r="K39" s="215">
        <f>SUM(K40:K41)</f>
        <v>13119091.292999998</v>
      </c>
      <c r="L39" s="215">
        <f>SUM(L40:L41)</f>
        <v>59524123.004322879</v>
      </c>
      <c r="M39" s="215">
        <f>SUM(M40:M41)</f>
        <v>58388931.695332818</v>
      </c>
      <c r="N39" s="87">
        <f t="shared" ref="N39:N50" si="14">IFERROR(I39/M39,"N/A")</f>
        <v>0.64195587916529939</v>
      </c>
      <c r="O39" s="245"/>
      <c r="P39" s="163"/>
      <c r="Q39" s="66"/>
      <c r="R39" s="66"/>
      <c r="S39" s="66"/>
      <c r="T39" s="66"/>
      <c r="U39" s="66"/>
      <c r="V39" s="66"/>
      <c r="W39" s="66"/>
      <c r="X39" s="66"/>
      <c r="Y39" s="66"/>
      <c r="Z39" s="66"/>
      <c r="AA39" s="66"/>
    </row>
    <row r="40" spans="1:27" ht="15" x14ac:dyDescent="0.25">
      <c r="A40" s="285" t="s">
        <v>43</v>
      </c>
      <c r="B40" s="285" t="s">
        <v>44</v>
      </c>
      <c r="C40" s="191" t="s">
        <v>45</v>
      </c>
      <c r="D40" s="297">
        <f>IFERROR(VLOOKUP(A40,'9+3 Savings LE'!D:F,3,FALSE),"N/A")</f>
        <v>117032.84999999999</v>
      </c>
      <c r="E40" s="251">
        <v>175024</v>
      </c>
      <c r="F40" s="203">
        <f t="shared" si="13"/>
        <v>175024</v>
      </c>
      <c r="G40" s="299">
        <f>VLOOKUP(A40,'9+3 Savings LE'!D:E,2,FALSE)</f>
        <v>164048.03999999998</v>
      </c>
      <c r="H40" s="87">
        <f>IF(AND(ISNUMBER(G40)=TRUE,G40&lt;&gt;0),D40/G40,"N/A")</f>
        <v>0.71340596327758632</v>
      </c>
      <c r="I40" s="309">
        <f>VLOOKUP(B40,'9+3 Spend LE'!E:H,4,FALSE)</f>
        <v>33828480.369999997</v>
      </c>
      <c r="J40" s="215">
        <f>I40*0.65</f>
        <v>21988512.240499999</v>
      </c>
      <c r="K40" s="215">
        <f t="shared" ref="K40:K67" si="15">I40-J40</f>
        <v>11839968.129499998</v>
      </c>
      <c r="L40" s="295">
        <f>VLOOKUP(B40,'9+3 Spend LE'!E:H,2,FALSE)</f>
        <v>51248795.004322879</v>
      </c>
      <c r="M40" s="295">
        <f>VLOOKUP(B40,'9+3 Spend LE'!E:H,3,FALSE)</f>
        <v>50707778.210000008</v>
      </c>
      <c r="N40" s="87">
        <f t="shared" si="14"/>
        <v>0.66712606160545074</v>
      </c>
      <c r="O40" s="245"/>
      <c r="P40" s="233"/>
      <c r="Q40" s="193"/>
      <c r="R40" s="193"/>
      <c r="S40" s="66"/>
      <c r="T40" s="66"/>
      <c r="U40" s="66"/>
      <c r="V40" s="66"/>
      <c r="W40" s="66"/>
      <c r="X40" s="66"/>
      <c r="Y40" s="66"/>
      <c r="Z40" s="66"/>
      <c r="AA40" s="66"/>
    </row>
    <row r="41" spans="1:27" ht="15" x14ac:dyDescent="0.25">
      <c r="A41" s="285" t="s">
        <v>46</v>
      </c>
      <c r="B41" s="285" t="s">
        <v>47</v>
      </c>
      <c r="C41" s="191" t="s">
        <v>48</v>
      </c>
      <c r="D41" s="297">
        <f>IFERROR(VLOOKUP(A41,'9+3 Savings LE'!D:F,3,FALSE),"N/A")</f>
        <v>5152.53</v>
      </c>
      <c r="E41" s="251">
        <v>14700</v>
      </c>
      <c r="F41" s="203">
        <f t="shared" si="13"/>
        <v>14700</v>
      </c>
      <c r="G41" s="299">
        <f>VLOOKUP(A41,'9+3 Savings LE'!D:E,2,FALSE)</f>
        <v>11766.529999999999</v>
      </c>
      <c r="H41" s="87">
        <f t="shared" si="1"/>
        <v>0.43789715404626517</v>
      </c>
      <c r="I41" s="309">
        <f>VLOOKUP(B41,'9+3 Spend LE'!E:H,4,FALSE)</f>
        <v>3654637.61</v>
      </c>
      <c r="J41" s="215">
        <f>I41*0.65</f>
        <v>2375514.4465000001</v>
      </c>
      <c r="K41" s="215">
        <f t="shared" si="15"/>
        <v>1279123.1634999998</v>
      </c>
      <c r="L41" s="295">
        <f>VLOOKUP(B41,'9+3 Spend LE'!E:H,2,FALSE)</f>
        <v>8275328</v>
      </c>
      <c r="M41" s="295">
        <f>VLOOKUP(B41,'9+3 Spend LE'!E:H,3,FALSE)</f>
        <v>7681153.4853328103</v>
      </c>
      <c r="N41" s="87">
        <f t="shared" si="14"/>
        <v>0.47579281119411859</v>
      </c>
      <c r="O41" s="245"/>
      <c r="P41" s="162"/>
      <c r="Q41" s="66"/>
      <c r="R41" s="66"/>
      <c r="S41" s="66"/>
      <c r="T41" s="66"/>
      <c r="U41" s="66"/>
      <c r="V41" s="66"/>
      <c r="W41" s="66"/>
      <c r="X41" s="66"/>
      <c r="Y41" s="66"/>
      <c r="Z41" s="66"/>
      <c r="AA41" s="66"/>
    </row>
    <row r="42" spans="1:27" ht="15" hidden="1" x14ac:dyDescent="0.25">
      <c r="A42" s="286"/>
      <c r="B42" s="286"/>
      <c r="C42" s="191" t="s">
        <v>27</v>
      </c>
      <c r="D42" s="297" t="str">
        <f>IFERROR(VLOOKUP(A42,'9+3 Savings LE'!D:F,3,FALSE),"N/A")</f>
        <v>N/A</v>
      </c>
      <c r="E42" s="252"/>
      <c r="F42" s="203"/>
      <c r="G42" s="299"/>
      <c r="H42" s="87"/>
      <c r="I42" s="309" t="e">
        <f>VLOOKUP(B42,'9+3 Spend LE'!E:H,4,FALSE)</f>
        <v>#N/A</v>
      </c>
      <c r="J42" s="215"/>
      <c r="K42" s="215"/>
      <c r="L42" s="295" t="e">
        <f>VLOOKUP(B42,'9+3 Spend LE'!E:H,2,FALSE)</f>
        <v>#N/A</v>
      </c>
      <c r="M42" s="295"/>
      <c r="N42" s="87"/>
      <c r="O42" s="245"/>
      <c r="P42" s="163"/>
      <c r="Q42" s="66"/>
      <c r="R42" s="66"/>
      <c r="S42" s="66"/>
      <c r="T42" s="66"/>
      <c r="U42" s="66"/>
      <c r="V42" s="66"/>
      <c r="W42" s="66"/>
      <c r="X42" s="66"/>
      <c r="Y42" s="66"/>
      <c r="Z42" s="66"/>
      <c r="AA42" s="66"/>
    </row>
    <row r="43" spans="1:27" ht="15" hidden="1" x14ac:dyDescent="0.25">
      <c r="A43" s="415"/>
      <c r="B43" s="391"/>
      <c r="C43" s="302" t="s">
        <v>49</v>
      </c>
      <c r="D43" s="297" t="str">
        <f>IFERROR(VLOOKUP(A43,'9+3 Savings LE'!D:F,3,FALSE),"N/A")</f>
        <v>N/A</v>
      </c>
      <c r="E43" s="204" t="s">
        <v>38</v>
      </c>
      <c r="F43" s="203" t="str">
        <f t="shared" si="13"/>
        <v>N/A</v>
      </c>
      <c r="G43" s="297"/>
      <c r="H43" s="87" t="str">
        <f t="shared" si="1"/>
        <v>N/A</v>
      </c>
      <c r="I43" s="309" t="e">
        <f>VLOOKUP(B43,'9+3 Spend LE'!E:H,4,FALSE)</f>
        <v>#N/A</v>
      </c>
      <c r="J43" s="215" t="s">
        <v>38</v>
      </c>
      <c r="K43" s="215" t="str">
        <f t="shared" ref="K43" si="16">J43</f>
        <v>N/A</v>
      </c>
      <c r="L43" s="295" t="e">
        <f>VLOOKUP(B43,'9+3 Spend LE'!E:H,2,FALSE)</f>
        <v>#N/A</v>
      </c>
      <c r="M43" s="295" t="e">
        <f t="shared" ref="M43" si="17">IF(AND(ISNUMBER(L43)=TRUE,L43&lt;&gt;0),I43/L43,"N/A")</f>
        <v>#N/A</v>
      </c>
      <c r="N43" s="87" t="str">
        <f t="shared" si="14"/>
        <v>N/A</v>
      </c>
      <c r="O43" s="245"/>
      <c r="P43" s="163"/>
      <c r="Q43" s="66"/>
      <c r="R43" s="66"/>
      <c r="S43" s="66"/>
      <c r="T43" s="66"/>
      <c r="U43" s="66"/>
      <c r="V43" s="66"/>
      <c r="W43" s="66"/>
      <c r="X43" s="66"/>
      <c r="Y43" s="66"/>
      <c r="Z43" s="66"/>
      <c r="AA43" s="66"/>
    </row>
    <row r="44" spans="1:27" ht="15" x14ac:dyDescent="0.25">
      <c r="A44" s="285" t="s">
        <v>50</v>
      </c>
      <c r="B44" s="285" t="s">
        <v>28</v>
      </c>
      <c r="C44" s="1" t="s">
        <v>51</v>
      </c>
      <c r="D44" s="297">
        <f>IFERROR(VLOOKUP(A44,'9+3 Savings LE'!D:F,3,FALSE),"N/A")</f>
        <v>99855.010000000009</v>
      </c>
      <c r="E44" s="251">
        <v>212171</v>
      </c>
      <c r="F44" s="203">
        <f t="shared" si="13"/>
        <v>212171</v>
      </c>
      <c r="G44" s="299">
        <f>VLOOKUP(A44,'9+3 Savings LE'!D:E,2,FALSE)</f>
        <v>188943.65</v>
      </c>
      <c r="H44" s="87">
        <f t="shared" si="1"/>
        <v>0.52849095484288577</v>
      </c>
      <c r="I44" s="309">
        <f>VLOOKUP(B44,'9+3 Spend LE'!E:H,4,FALSE)</f>
        <v>32469677.84</v>
      </c>
      <c r="J44" s="215">
        <f>I44*0.65</f>
        <v>21105290.596000001</v>
      </c>
      <c r="K44" s="215">
        <f t="shared" si="15"/>
        <v>11364387.243999999</v>
      </c>
      <c r="L44" s="295">
        <f>VLOOKUP(B44,'9+3 Spend LE'!E:H,2,FALSE)</f>
        <v>75360608.549720004</v>
      </c>
      <c r="M44" s="295">
        <f>VLOOKUP(B44,'9+3 Spend LE'!E:H,3,FALSE)</f>
        <v>68442698.75</v>
      </c>
      <c r="N44" s="87">
        <f t="shared" si="14"/>
        <v>0.47440674364115426</v>
      </c>
      <c r="O44" s="245"/>
      <c r="P44" s="233"/>
      <c r="Q44" s="193"/>
      <c r="R44" s="193"/>
      <c r="S44" s="66"/>
      <c r="T44" s="66"/>
      <c r="U44" s="66"/>
      <c r="V44" s="66"/>
      <c r="W44" s="66"/>
      <c r="X44" s="66"/>
      <c r="Y44" s="66"/>
      <c r="Z44" s="66"/>
      <c r="AA44" s="66"/>
    </row>
    <row r="45" spans="1:27" ht="15" x14ac:dyDescent="0.25">
      <c r="A45" s="285" t="s">
        <v>52</v>
      </c>
      <c r="B45" s="285" t="s">
        <v>53</v>
      </c>
      <c r="C45" s="1" t="s">
        <v>54</v>
      </c>
      <c r="D45" s="297">
        <f>IFERROR(VLOOKUP(A45,'9+3 Savings LE'!D:F,3,FALSE),"N/A")</f>
        <v>76924</v>
      </c>
      <c r="E45" s="251">
        <v>95103</v>
      </c>
      <c r="F45" s="203">
        <f t="shared" si="13"/>
        <v>95103</v>
      </c>
      <c r="G45" s="299">
        <f>VLOOKUP(A45,'9+3 Savings LE'!D:E,2,FALSE)</f>
        <v>113241</v>
      </c>
      <c r="H45" s="87">
        <f t="shared" si="1"/>
        <v>0.67929460177850776</v>
      </c>
      <c r="I45" s="309">
        <f>VLOOKUP(B45,'9+3 Spend LE'!E:H,4,FALSE)</f>
        <v>12719495.07</v>
      </c>
      <c r="J45" s="215">
        <f>I45*0.65</f>
        <v>8267671.7955000009</v>
      </c>
      <c r="K45" s="215">
        <f t="shared" si="15"/>
        <v>4451823.2744999994</v>
      </c>
      <c r="L45" s="295">
        <f>VLOOKUP(B45,'9+3 Spend LE'!E:H,2,FALSE)</f>
        <v>13402536.768622689</v>
      </c>
      <c r="M45" s="295">
        <f>VLOOKUP(B45,'9+3 Spend LE'!E:H,3,FALSE)</f>
        <v>19982261.028172135</v>
      </c>
      <c r="N45" s="87">
        <f t="shared" si="14"/>
        <v>0.63653933116314154</v>
      </c>
      <c r="O45" s="245"/>
      <c r="P45" s="162"/>
      <c r="Q45" s="66"/>
      <c r="R45" s="66"/>
      <c r="S45" s="66"/>
      <c r="T45" s="66"/>
      <c r="U45" s="66"/>
      <c r="V45" s="66"/>
      <c r="W45" s="66"/>
      <c r="X45" s="66"/>
      <c r="Y45" s="66"/>
      <c r="Z45" s="66"/>
      <c r="AA45" s="66"/>
    </row>
    <row r="46" spans="1:27" ht="15" x14ac:dyDescent="0.25">
      <c r="A46" t="s">
        <v>55</v>
      </c>
      <c r="B46" s="384"/>
      <c r="C46" s="1" t="s">
        <v>56</v>
      </c>
      <c r="D46" s="297">
        <f>IFERROR(VLOOKUP(A46,'9+3 Savings LE'!D:F,3,FALSE),"N/A")</f>
        <v>0</v>
      </c>
      <c r="E46" s="251">
        <v>16700</v>
      </c>
      <c r="F46" s="203">
        <f t="shared" si="13"/>
        <v>16700</v>
      </c>
      <c r="G46" s="299">
        <f>VLOOKUP(A46,'9+3 Savings LE'!D:E,2,FALSE)</f>
        <v>0</v>
      </c>
      <c r="H46" s="87" t="str">
        <f t="shared" si="1"/>
        <v>N/A</v>
      </c>
      <c r="I46" s="309" t="s">
        <v>38</v>
      </c>
      <c r="J46" s="215" t="s">
        <v>38</v>
      </c>
      <c r="K46" s="215" t="str">
        <f t="shared" ref="K46" si="18">J46</f>
        <v>N/A</v>
      </c>
      <c r="L46" s="295" t="s">
        <v>38</v>
      </c>
      <c r="M46" s="295" t="str">
        <f t="shared" ref="M46" si="19">IF(AND(ISNUMBER(L46)=TRUE,L46&lt;&gt;0),I46/L46,"N/A")</f>
        <v>N/A</v>
      </c>
      <c r="N46" s="87" t="str">
        <f t="shared" si="14"/>
        <v>N/A</v>
      </c>
      <c r="O46" s="245"/>
      <c r="P46" s="163"/>
      <c r="Q46" s="66"/>
      <c r="R46" s="66"/>
      <c r="S46" s="66"/>
      <c r="T46" s="66"/>
      <c r="U46" s="66"/>
      <c r="V46" s="66"/>
      <c r="W46" s="66"/>
      <c r="X46" s="66"/>
      <c r="Y46" s="66"/>
      <c r="Z46" s="66"/>
      <c r="AA46" s="66"/>
    </row>
    <row r="47" spans="1:27" ht="15" x14ac:dyDescent="0.25">
      <c r="A47" s="285" t="s">
        <v>57</v>
      </c>
      <c r="B47" s="285" t="s">
        <v>58</v>
      </c>
      <c r="C47" s="1" t="s">
        <v>59</v>
      </c>
      <c r="D47" s="297">
        <f>IFERROR(VLOOKUP(A47,'9+3 Savings LE'!D:F,3,FALSE),"N/A")</f>
        <v>30496.3</v>
      </c>
      <c r="E47" s="204">
        <v>52245</v>
      </c>
      <c r="F47" s="203">
        <f t="shared" si="13"/>
        <v>52245</v>
      </c>
      <c r="G47" s="299">
        <f>VLOOKUP(A47,'9+3 Savings LE'!D:E,2,FALSE)</f>
        <v>52278.3</v>
      </c>
      <c r="H47" s="87">
        <f t="shared" si="1"/>
        <v>0.58334528858053913</v>
      </c>
      <c r="I47" s="309">
        <f>VLOOKUP(B47,'9+3 Spend LE'!E:H,4,FALSE)</f>
        <v>7555650.4900000002</v>
      </c>
      <c r="J47" s="215">
        <f>I47*0.65</f>
        <v>4911172.8185000001</v>
      </c>
      <c r="K47" s="215">
        <f t="shared" si="15"/>
        <v>2644477.6715000002</v>
      </c>
      <c r="L47" s="295">
        <f>VLOOKUP(B47,'9+3 Spend LE'!E:H,2,FALSE)</f>
        <v>17115684</v>
      </c>
      <c r="M47" s="295">
        <f>VLOOKUP(B47,'9+3 Spend LE'!E:H,3,FALSE)</f>
        <v>14950360.800000001</v>
      </c>
      <c r="N47" s="87">
        <f t="shared" si="14"/>
        <v>0.50538248481601866</v>
      </c>
      <c r="O47" s="245"/>
      <c r="P47" s="233"/>
      <c r="Q47" s="193"/>
      <c r="R47" s="193"/>
      <c r="S47" s="66"/>
      <c r="T47" s="66"/>
      <c r="U47" s="66"/>
      <c r="V47" s="66"/>
      <c r="W47" s="66"/>
      <c r="X47" s="66"/>
      <c r="Y47" s="66"/>
      <c r="Z47" s="66"/>
      <c r="AA47" s="66"/>
    </row>
    <row r="48" spans="1:27" ht="15" x14ac:dyDescent="0.25">
      <c r="A48" s="285" t="s">
        <v>60</v>
      </c>
      <c r="B48" s="285" t="s">
        <v>61</v>
      </c>
      <c r="C48" s="1" t="s">
        <v>62</v>
      </c>
      <c r="D48" s="297">
        <f>IFERROR(VLOOKUP(A48,'9+3 Savings LE'!D:F,3,FALSE),"N/A")</f>
        <v>12188.9</v>
      </c>
      <c r="E48" s="204">
        <v>36100</v>
      </c>
      <c r="F48" s="203">
        <f t="shared" si="13"/>
        <v>36100</v>
      </c>
      <c r="G48" s="299">
        <f>VLOOKUP(A48,'9+3 Savings LE'!D:E,2,FALSE)</f>
        <v>26538.9</v>
      </c>
      <c r="H48" s="87">
        <f t="shared" si="1"/>
        <v>0.45928429588264769</v>
      </c>
      <c r="I48" s="309">
        <f>VLOOKUP(B48,'9+3 Spend LE'!E:H,4,FALSE)</f>
        <v>5074915.32</v>
      </c>
      <c r="J48" s="215">
        <f>I48*0.65</f>
        <v>3298694.9580000001</v>
      </c>
      <c r="K48" s="215">
        <f t="shared" si="15"/>
        <v>1776220.3620000002</v>
      </c>
      <c r="L48" s="295">
        <f>VLOOKUP(B48,'9+3 Spend LE'!E:H,2,FALSE)</f>
        <v>12669953</v>
      </c>
      <c r="M48" s="295">
        <f>VLOOKUP(B48,'9+3 Spend LE'!E:H,3,FALSE)</f>
        <v>9790930.290000001</v>
      </c>
      <c r="N48" s="87">
        <f t="shared" si="14"/>
        <v>0.51832820474508756</v>
      </c>
      <c r="O48" s="245"/>
      <c r="P48" s="162"/>
      <c r="Q48" s="66"/>
      <c r="R48" s="66"/>
      <c r="S48" s="66"/>
      <c r="T48" s="66"/>
      <c r="U48" s="66"/>
      <c r="V48" s="66"/>
      <c r="W48" s="66"/>
      <c r="X48" s="66"/>
      <c r="Y48" s="66"/>
      <c r="Z48" s="66"/>
      <c r="AA48" s="66"/>
    </row>
    <row r="49" spans="1:27" ht="15" x14ac:dyDescent="0.25">
      <c r="A49" s="285" t="s">
        <v>63</v>
      </c>
      <c r="B49" s="285" t="s">
        <v>64</v>
      </c>
      <c r="C49" s="1" t="s">
        <v>65</v>
      </c>
      <c r="D49" s="297">
        <f>IFERROR(VLOOKUP(A49,'9+3 Savings LE'!D:F,3,FALSE),"N/A")</f>
        <v>7408.52</v>
      </c>
      <c r="E49" s="204">
        <v>37862</v>
      </c>
      <c r="F49" s="203">
        <f t="shared" si="13"/>
        <v>37862</v>
      </c>
      <c r="G49" s="299">
        <f>VLOOKUP(A49,'9+3 Savings LE'!D:E,2,FALSE)</f>
        <v>37862.519999999997</v>
      </c>
      <c r="H49" s="87">
        <f t="shared" si="1"/>
        <v>0.19566896234059436</v>
      </c>
      <c r="I49" s="309">
        <f>VLOOKUP(B49,'9+3 Spend LE'!E:H,4,FALSE)</f>
        <v>5120771.05</v>
      </c>
      <c r="J49" s="215">
        <v>0</v>
      </c>
      <c r="K49" s="215">
        <f t="shared" si="15"/>
        <v>5120771.05</v>
      </c>
      <c r="L49" s="295">
        <f>VLOOKUP(B49,'9+3 Spend LE'!E:H,2,FALSE)</f>
        <v>8256814.0176195074</v>
      </c>
      <c r="M49" s="295">
        <f>VLOOKUP(B49,'9+3 Spend LE'!E:H,3,FALSE)</f>
        <v>8281550.5600000005</v>
      </c>
      <c r="N49" s="87">
        <f t="shared" si="14"/>
        <v>0.61833481700074289</v>
      </c>
      <c r="O49" s="245"/>
      <c r="P49" s="163"/>
      <c r="Q49" s="66"/>
      <c r="R49" s="66"/>
      <c r="S49" s="66"/>
      <c r="T49" s="66"/>
      <c r="U49" s="66"/>
      <c r="V49" s="66"/>
      <c r="W49" s="66"/>
      <c r="X49" s="66"/>
      <c r="Y49" s="66"/>
      <c r="Z49" s="66"/>
      <c r="AA49" s="66"/>
    </row>
    <row r="50" spans="1:27" ht="15" x14ac:dyDescent="0.25">
      <c r="A50" s="285" t="s">
        <v>66</v>
      </c>
      <c r="B50" s="285" t="s">
        <v>67</v>
      </c>
      <c r="C50" s="1" t="s">
        <v>68</v>
      </c>
      <c r="D50" s="297">
        <f>IFERROR(VLOOKUP(A50,'9+3 Savings LE'!D:F,3,FALSE),"N/A")</f>
        <v>4276.32</v>
      </c>
      <c r="E50" s="204">
        <v>5204</v>
      </c>
      <c r="F50" s="203">
        <f t="shared" si="13"/>
        <v>5204</v>
      </c>
      <c r="G50" s="299">
        <f>VLOOKUP(A50,'9+3 Savings LE'!D:E,2,FALSE)</f>
        <v>4670.32</v>
      </c>
      <c r="H50" s="87">
        <f t="shared" si="1"/>
        <v>0.91563747237876636</v>
      </c>
      <c r="I50" s="309">
        <f>VLOOKUP(B50,'9+3 Spend LE'!E:H,4,FALSE)</f>
        <v>2394679.0100000002</v>
      </c>
      <c r="J50" s="215">
        <f>I50*0.65</f>
        <v>1556541.3565000002</v>
      </c>
      <c r="K50" s="215">
        <f t="shared" si="15"/>
        <v>838137.65350000001</v>
      </c>
      <c r="L50" s="295">
        <f>VLOOKUP(B50,'9+3 Spend LE'!E:H,2,FALSE)</f>
        <v>2795623.2464551372</v>
      </c>
      <c r="M50" s="295">
        <f>VLOOKUP(B50,'9+3 Spend LE'!E:H,3,FALSE)</f>
        <v>2732742.8881414291</v>
      </c>
      <c r="N50" s="87">
        <f t="shared" si="14"/>
        <v>0.87629137025351478</v>
      </c>
      <c r="O50" s="245"/>
      <c r="P50" s="233"/>
      <c r="Q50" s="193"/>
      <c r="R50" s="193"/>
      <c r="S50" s="66"/>
      <c r="T50" s="66"/>
      <c r="U50" s="66"/>
      <c r="V50" s="66"/>
      <c r="W50" s="66"/>
      <c r="X50" s="66"/>
      <c r="Y50" s="66"/>
      <c r="Z50" s="66"/>
      <c r="AA50" s="66"/>
    </row>
    <row r="51" spans="1:27" ht="15" x14ac:dyDescent="0.25">
      <c r="A51" s="386"/>
      <c r="B51" s="285" t="s">
        <v>69</v>
      </c>
      <c r="C51" s="1" t="s">
        <v>70</v>
      </c>
      <c r="D51" s="297" t="str">
        <f>IFERROR(VLOOKUP(A51,'9+3 Savings LE'!D:F,3,FALSE),"N/A")</f>
        <v>N/A</v>
      </c>
      <c r="E51" s="248" t="s">
        <v>38</v>
      </c>
      <c r="F51" s="203" t="str">
        <f>E51</f>
        <v>N/A</v>
      </c>
      <c r="G51" s="297" t="s">
        <v>38</v>
      </c>
      <c r="H51" s="87" t="str">
        <f t="shared" si="1"/>
        <v>N/A</v>
      </c>
      <c r="I51" s="309">
        <f>VLOOKUP(B51,'9+3 Spend LE'!E:H,4,FALSE)</f>
        <v>420614.40000000002</v>
      </c>
      <c r="J51" s="215">
        <f>I51*0.65</f>
        <v>273399.36000000004</v>
      </c>
      <c r="K51" s="215">
        <f t="shared" si="15"/>
        <v>147215.03999999998</v>
      </c>
      <c r="L51" s="295">
        <f>VLOOKUP(B51,'9+3 Spend LE'!E:H,2,FALSE)</f>
        <v>1131656.92</v>
      </c>
      <c r="M51" s="295">
        <f>VLOOKUP(B51,'9+3 Spend LE'!E:H,3,FALSE)</f>
        <v>795104.29</v>
      </c>
      <c r="N51" s="87"/>
      <c r="O51" s="245"/>
      <c r="P51" s="162"/>
      <c r="Q51" s="66"/>
      <c r="R51" s="66"/>
      <c r="S51" s="66"/>
      <c r="T51" s="66"/>
      <c r="U51" s="66"/>
      <c r="V51" s="66"/>
      <c r="W51" s="66"/>
      <c r="X51" s="66"/>
      <c r="Y51" s="66"/>
      <c r="Z51" s="66"/>
      <c r="AA51" s="66"/>
    </row>
    <row r="52" spans="1:27" ht="15" x14ac:dyDescent="0.25">
      <c r="A52" s="285" t="s">
        <v>71</v>
      </c>
      <c r="B52" s="285" t="s">
        <v>72</v>
      </c>
      <c r="C52" s="1" t="s">
        <v>73</v>
      </c>
      <c r="D52" s="297">
        <f>IFERROR(VLOOKUP(A52,'9+3 Savings LE'!D:F,3,FALSE),"N/A")</f>
        <v>827.50000000000011</v>
      </c>
      <c r="E52" s="204">
        <v>1435</v>
      </c>
      <c r="F52" s="203">
        <f t="shared" ref="F52" si="20">E52</f>
        <v>1435</v>
      </c>
      <c r="G52" s="299">
        <f>VLOOKUP(A52,'9+3 Savings LE'!D:E,2,FALSE)</f>
        <v>1307.5</v>
      </c>
      <c r="H52" s="87">
        <f t="shared" si="1"/>
        <v>0.63288718929254306</v>
      </c>
      <c r="I52" s="309">
        <f>VLOOKUP(B52,'9+3 Spend LE'!E:H,4,FALSE)</f>
        <v>330289.86</v>
      </c>
      <c r="J52" s="215">
        <v>0</v>
      </c>
      <c r="K52" s="215">
        <f t="shared" si="15"/>
        <v>330289.86</v>
      </c>
      <c r="L52" s="295">
        <f>VLOOKUP(B52,'9+3 Spend LE'!E:H,2,FALSE)</f>
        <v>457455.83</v>
      </c>
      <c r="M52" s="295">
        <f>VLOOKUP(B52,'9+3 Spend LE'!E:H,3,FALSE)</f>
        <v>487766.5</v>
      </c>
      <c r="N52" s="87">
        <f t="shared" ref="N52:N54" si="21">IFERROR(I52/M52,"N/A")</f>
        <v>0.67714748757858523</v>
      </c>
      <c r="O52" s="245"/>
      <c r="P52" s="163"/>
      <c r="Q52" s="66"/>
      <c r="R52" s="66"/>
      <c r="S52" s="66"/>
      <c r="T52" s="66"/>
      <c r="U52" s="66"/>
      <c r="V52" s="66"/>
      <c r="W52" s="66"/>
      <c r="X52" s="66"/>
      <c r="Y52" s="66"/>
      <c r="Z52" s="66"/>
      <c r="AA52" s="66"/>
    </row>
    <row r="53" spans="1:27" ht="15" x14ac:dyDescent="0.25">
      <c r="A53" s="388"/>
      <c r="B53" s="285" t="s">
        <v>74</v>
      </c>
      <c r="C53" s="1" t="s">
        <v>75</v>
      </c>
      <c r="D53" s="297" t="str">
        <f>IFERROR(VLOOKUP(A53,'9+3 Savings LE'!D:F,3,FALSE),"N/A")</f>
        <v>N/A</v>
      </c>
      <c r="E53" s="248" t="s">
        <v>38</v>
      </c>
      <c r="F53" s="203" t="str">
        <f>E53</f>
        <v>N/A</v>
      </c>
      <c r="G53" s="297" t="s">
        <v>38</v>
      </c>
      <c r="H53" s="84" t="str">
        <f>IF(AND(ISNUMBER(G53)=TRUE,G53&lt;&gt;0),D53/G53,"N/A")</f>
        <v>N/A</v>
      </c>
      <c r="I53" s="309">
        <f>VLOOKUP(B53,'9+3 Spend LE'!E:H,4,FALSE)</f>
        <v>3609656.79</v>
      </c>
      <c r="J53" s="215">
        <v>0</v>
      </c>
      <c r="K53" s="215">
        <f>I53-J53</f>
        <v>3609656.79</v>
      </c>
      <c r="L53" s="295">
        <f>VLOOKUP(B53,'9+3 Spend LE'!E:H,2,FALSE)</f>
        <v>6173000.0000000019</v>
      </c>
      <c r="M53" s="295">
        <f>VLOOKUP(B53,'9+3 Spend LE'!E:H,3,FALSE)</f>
        <v>7673099.79</v>
      </c>
      <c r="N53" s="87">
        <f t="shared" si="21"/>
        <v>0.47043005940106508</v>
      </c>
      <c r="O53" s="245"/>
      <c r="P53" s="233"/>
      <c r="Q53" s="193"/>
      <c r="R53" s="193"/>
      <c r="S53" s="66"/>
      <c r="T53" s="66"/>
      <c r="U53" s="66"/>
      <c r="V53" s="66"/>
      <c r="W53" s="66"/>
      <c r="X53" s="66"/>
      <c r="Y53" s="66"/>
      <c r="Z53" s="66"/>
      <c r="AA53" s="66"/>
    </row>
    <row r="54" spans="1:27" ht="15" x14ac:dyDescent="0.25">
      <c r="A54" s="386"/>
      <c r="B54" s="387" t="s">
        <v>39</v>
      </c>
      <c r="C54" s="1" t="s">
        <v>76</v>
      </c>
      <c r="D54" s="297" t="str">
        <f>IFERROR(VLOOKUP(A54,'9+3 Savings LE'!D:F,3,FALSE),"N/A")</f>
        <v>N/A</v>
      </c>
      <c r="E54" s="248" t="s">
        <v>38</v>
      </c>
      <c r="F54" s="203" t="str">
        <f>E54</f>
        <v>N/A</v>
      </c>
      <c r="G54" s="297" t="s">
        <v>38</v>
      </c>
      <c r="H54" s="84" t="str">
        <f>IF(AND(ISNUMBER(G54)=TRUE,G54&lt;&gt;0),D54/G54,"N/A")</f>
        <v>N/A</v>
      </c>
      <c r="I54" s="309">
        <f>VLOOKUP(B54,'9+3 Spend LE'!E:H,4,FALSE)</f>
        <v>58415.21</v>
      </c>
      <c r="J54" s="215">
        <v>0</v>
      </c>
      <c r="K54" s="215">
        <f>I54-J54</f>
        <v>58415.21</v>
      </c>
      <c r="L54" s="295">
        <f>VLOOKUP(B54,'9+3 Spend LE'!E:H,2,FALSE)</f>
        <v>50000</v>
      </c>
      <c r="M54" s="295">
        <f>VLOOKUP(B54,'9+3 Spend LE'!E:H,3,FALSE)</f>
        <v>50000.17</v>
      </c>
      <c r="N54" s="87">
        <f t="shared" si="21"/>
        <v>1.1683002277792256</v>
      </c>
      <c r="O54" s="245"/>
      <c r="P54" s="162"/>
      <c r="Q54" s="66"/>
      <c r="R54" s="66"/>
      <c r="S54" s="66"/>
      <c r="T54" s="66"/>
      <c r="U54" s="66"/>
      <c r="V54" s="66"/>
      <c r="W54" s="66"/>
      <c r="X54" s="66"/>
      <c r="Y54" s="66"/>
      <c r="Z54" s="66"/>
      <c r="AA54" s="66"/>
    </row>
    <row r="55" spans="1:27" ht="20.100000000000001" customHeight="1" x14ac:dyDescent="0.25">
      <c r="A55" s="373"/>
      <c r="B55" s="376"/>
      <c r="C55" s="41" t="s">
        <v>77</v>
      </c>
      <c r="D55" s="292">
        <f>SUM(D39,D43:D54)</f>
        <v>354161.93000000005</v>
      </c>
      <c r="E55" s="220">
        <f>SUM(E39,E43:E54)</f>
        <v>646544</v>
      </c>
      <c r="F55" s="220">
        <f>SUM(F39,F43:F54)</f>
        <v>646544</v>
      </c>
      <c r="G55" s="220">
        <f>SUM(G39,G43:G54)</f>
        <v>600656.76</v>
      </c>
      <c r="H55" s="221">
        <f t="shared" si="1"/>
        <v>0.58962448037711257</v>
      </c>
      <c r="I55" s="310">
        <f>SUM(I39,I44:I54)</f>
        <v>107237283.02</v>
      </c>
      <c r="J55" s="222">
        <f>SUM(J39,J44:J54)</f>
        <v>63776797.571499996</v>
      </c>
      <c r="K55" s="222">
        <f>I55-J55</f>
        <v>43460485.4485</v>
      </c>
      <c r="L55" s="222">
        <f>SUM(L39,L44:L54)</f>
        <v>196937455.33674023</v>
      </c>
      <c r="M55" s="222">
        <f>SUM(M39,M44:M54)</f>
        <v>191575446.76164636</v>
      </c>
      <c r="N55" s="88">
        <f>I55/M55</f>
        <v>0.55976527698469669</v>
      </c>
      <c r="O55" s="245"/>
      <c r="P55" s="163"/>
      <c r="Q55" s="66"/>
      <c r="R55" s="66"/>
      <c r="S55" s="66"/>
      <c r="T55" s="66"/>
      <c r="U55" s="66"/>
      <c r="V55" s="66"/>
      <c r="W55" s="66"/>
      <c r="X55" s="66"/>
      <c r="Y55" s="66"/>
      <c r="Z55" s="66"/>
      <c r="AA55" s="66"/>
    </row>
    <row r="56" spans="1:27" ht="20.100000000000001" customHeight="1" x14ac:dyDescent="0.25">
      <c r="A56" s="375"/>
      <c r="B56" s="376"/>
      <c r="C56" s="294" t="s">
        <v>78</v>
      </c>
      <c r="D56" s="207"/>
      <c r="E56" s="207"/>
      <c r="F56" s="207"/>
      <c r="G56" s="207"/>
      <c r="H56" s="207"/>
      <c r="I56" s="207"/>
      <c r="J56" s="197"/>
      <c r="K56" s="197"/>
      <c r="L56" s="197"/>
      <c r="M56" s="197"/>
      <c r="N56" s="198"/>
      <c r="O56" s="245"/>
      <c r="P56" s="163"/>
      <c r="Q56" s="66"/>
      <c r="R56" s="66"/>
      <c r="S56" s="66"/>
      <c r="T56" s="66"/>
      <c r="U56" s="66"/>
      <c r="V56" s="66"/>
      <c r="W56" s="66"/>
      <c r="X56" s="66"/>
      <c r="Y56" s="66"/>
      <c r="Z56" s="66"/>
      <c r="AA56" s="66"/>
    </row>
    <row r="57" spans="1:27" ht="15" x14ac:dyDescent="0.25">
      <c r="A57" s="379"/>
      <c r="B57" s="376"/>
      <c r="C57" s="1" t="s">
        <v>79</v>
      </c>
      <c r="D57" s="290">
        <f>SUM(D58:D59)</f>
        <v>15017.289999999999</v>
      </c>
      <c r="E57" s="200">
        <f>E58+E59</f>
        <v>37459.279999999999</v>
      </c>
      <c r="F57" s="200">
        <f t="shared" ref="F57:F65" si="22">E57</f>
        <v>37459.279999999999</v>
      </c>
      <c r="G57" s="200">
        <f>SUM(G58:G59)</f>
        <v>29541.839999999997</v>
      </c>
      <c r="H57" s="87">
        <f t="shared" si="1"/>
        <v>0.50833969718880068</v>
      </c>
      <c r="I57" s="307">
        <f>SUM(I58:I59)</f>
        <v>6405235.9500000002</v>
      </c>
      <c r="J57" s="215">
        <f>SUM(J58:J59)</f>
        <v>4163403.3675000002</v>
      </c>
      <c r="K57" s="215">
        <f t="shared" si="15"/>
        <v>2241832.5825</v>
      </c>
      <c r="L57" s="215">
        <f>SUM(L58:L59)</f>
        <v>13860620.99672728</v>
      </c>
      <c r="M57" s="215">
        <f>SUM(M58:M59)</f>
        <v>12488418.830754802</v>
      </c>
      <c r="N57" s="87">
        <f t="shared" ref="N57:N68" si="23">IFERROR(I57/M57,"N/A")</f>
        <v>0.51289406904147428</v>
      </c>
      <c r="O57" s="245"/>
      <c r="P57" s="233"/>
      <c r="Q57" s="193"/>
      <c r="R57" s="193"/>
      <c r="S57" s="66"/>
      <c r="T57" s="66"/>
      <c r="U57" s="66"/>
      <c r="V57" s="66"/>
      <c r="W57" s="66"/>
      <c r="X57" s="66"/>
      <c r="Y57" s="66"/>
      <c r="Z57" s="66"/>
      <c r="AA57" s="66"/>
    </row>
    <row r="58" spans="1:27" ht="15" x14ac:dyDescent="0.25">
      <c r="A58" s="285" t="s">
        <v>80</v>
      </c>
      <c r="B58" s="285" t="s">
        <v>81</v>
      </c>
      <c r="C58" s="191" t="s">
        <v>82</v>
      </c>
      <c r="D58" s="297">
        <f>IFERROR(VLOOKUP(A58,'9+3 Savings LE'!D:F,3,FALSE),"N/A")</f>
        <v>14125.939999999999</v>
      </c>
      <c r="E58" s="251">
        <v>35459.279999999999</v>
      </c>
      <c r="F58" s="200">
        <f t="shared" si="22"/>
        <v>35459.279999999999</v>
      </c>
      <c r="G58" s="299">
        <f>VLOOKUP(A58,'9+3 Savings LE'!D:E,2,FALSE)</f>
        <v>28071.489999999998</v>
      </c>
      <c r="H58" s="87">
        <f t="shared" si="1"/>
        <v>0.50321304640402054</v>
      </c>
      <c r="I58" s="309">
        <f>VLOOKUP(B58,'9+3 Spend LE'!E:H,4,FALSE)</f>
        <v>5763500.0099999998</v>
      </c>
      <c r="J58" s="215">
        <f>I58*0.65</f>
        <v>3746275.0065000001</v>
      </c>
      <c r="K58" s="215">
        <f t="shared" si="15"/>
        <v>2017225.0034999996</v>
      </c>
      <c r="L58" s="295">
        <f>VLOOKUP(B58,'9+3 Spend LE'!E:H,2,FALSE)</f>
        <v>12528424.99672728</v>
      </c>
      <c r="M58" s="295">
        <f>VLOOKUP(B58,'9+3 Spend LE'!E:H,3,FALSE)</f>
        <v>11535690.529999999</v>
      </c>
      <c r="N58" s="87">
        <f t="shared" si="23"/>
        <v>0.499623320772285</v>
      </c>
      <c r="O58" s="245"/>
      <c r="P58" s="162"/>
      <c r="Q58" s="66"/>
      <c r="R58" s="66"/>
      <c r="S58" s="66"/>
      <c r="T58" s="66"/>
      <c r="U58" s="66"/>
      <c r="V58" s="66"/>
      <c r="W58" s="66"/>
      <c r="X58" s="66"/>
      <c r="Y58" s="66"/>
      <c r="Z58" s="66"/>
      <c r="AA58" s="66"/>
    </row>
    <row r="59" spans="1:27" ht="15" x14ac:dyDescent="0.25">
      <c r="A59" s="285" t="s">
        <v>83</v>
      </c>
      <c r="B59" s="285" t="s">
        <v>84</v>
      </c>
      <c r="C59" s="191" t="s">
        <v>85</v>
      </c>
      <c r="D59" s="297">
        <f>IFERROR(VLOOKUP(A59,'9+3 Savings LE'!D:F,3,FALSE),"N/A")</f>
        <v>891.35</v>
      </c>
      <c r="E59" s="251">
        <v>2000</v>
      </c>
      <c r="F59" s="200">
        <f t="shared" si="22"/>
        <v>2000</v>
      </c>
      <c r="G59" s="299">
        <f>VLOOKUP(A59,'9+3 Savings LE'!D:E,2,FALSE)</f>
        <v>1470.35</v>
      </c>
      <c r="H59" s="87">
        <f t="shared" si="1"/>
        <v>0.60621620702553825</v>
      </c>
      <c r="I59" s="309">
        <f>VLOOKUP(B59,'9+3 Spend LE'!E:H,4,FALSE)</f>
        <v>641735.94000000006</v>
      </c>
      <c r="J59" s="215">
        <f>I59*0.65</f>
        <v>417128.36100000003</v>
      </c>
      <c r="K59" s="215">
        <f t="shared" si="15"/>
        <v>224607.57900000003</v>
      </c>
      <c r="L59" s="295">
        <f>VLOOKUP(B59,'9+3 Spend LE'!E:H,2,FALSE)</f>
        <v>1332196</v>
      </c>
      <c r="M59" s="295">
        <f>VLOOKUP(B59,'9+3 Spend LE'!E:H,3,FALSE)</f>
        <v>952728.30075480277</v>
      </c>
      <c r="N59" s="87">
        <f t="shared" si="23"/>
        <v>0.67357707280405366</v>
      </c>
      <c r="O59" s="245"/>
      <c r="P59" s="163"/>
      <c r="Q59" s="66"/>
      <c r="R59" s="66"/>
      <c r="S59" s="66"/>
      <c r="T59" s="66"/>
      <c r="U59" s="66"/>
      <c r="V59" s="66"/>
      <c r="W59" s="66"/>
      <c r="X59" s="66"/>
      <c r="Y59" s="66"/>
      <c r="Z59" s="66"/>
      <c r="AA59" s="66"/>
    </row>
    <row r="60" spans="1:27" ht="15" x14ac:dyDescent="0.25">
      <c r="A60" s="285" t="s">
        <v>86</v>
      </c>
      <c r="B60" s="285" t="s">
        <v>87</v>
      </c>
      <c r="C60" s="1" t="s">
        <v>88</v>
      </c>
      <c r="D60" s="297">
        <f>IFERROR(VLOOKUP(A60,'9+3 Savings LE'!D:F,3,FALSE),"N/A")</f>
        <v>14901.850000000002</v>
      </c>
      <c r="E60" s="251">
        <v>36808.428042</v>
      </c>
      <c r="F60" s="200">
        <f t="shared" si="22"/>
        <v>36808.428042</v>
      </c>
      <c r="G60" s="299">
        <f>VLOOKUP(A60,'9+3 Savings LE'!D:E,2,FALSE)</f>
        <v>25420.19</v>
      </c>
      <c r="H60" s="87">
        <f t="shared" si="1"/>
        <v>0.58622103139276316</v>
      </c>
      <c r="I60" s="309">
        <f>VLOOKUP(B60,'9+3 Spend LE'!E:H,4,FALSE)</f>
        <v>5272772.5</v>
      </c>
      <c r="J60" s="215">
        <f>I60*0.65</f>
        <v>3427302.125</v>
      </c>
      <c r="K60" s="215">
        <f t="shared" si="15"/>
        <v>1845470.375</v>
      </c>
      <c r="L60" s="295">
        <f>VLOOKUP(B60,'9+3 Spend LE'!E:H,2,FALSE)</f>
        <v>13069425.263999999</v>
      </c>
      <c r="M60" s="295">
        <f>VLOOKUP(B60,'9+3 Spend LE'!E:H,3,FALSE)</f>
        <v>9283906.7400000002</v>
      </c>
      <c r="N60" s="87">
        <f t="shared" si="23"/>
        <v>0.56794759444125997</v>
      </c>
      <c r="O60" s="245"/>
      <c r="P60" s="233"/>
      <c r="Q60" s="193"/>
      <c r="R60" s="193"/>
      <c r="S60" s="66"/>
      <c r="T60" s="66"/>
      <c r="U60" s="66"/>
      <c r="V60" s="66"/>
      <c r="W60" s="66"/>
      <c r="X60" s="66"/>
      <c r="Y60" s="66"/>
      <c r="Z60" s="66"/>
      <c r="AA60" s="66"/>
    </row>
    <row r="61" spans="1:27" ht="15" x14ac:dyDescent="0.25">
      <c r="A61" s="285" t="s">
        <v>89</v>
      </c>
      <c r="B61" s="285" t="s">
        <v>90</v>
      </c>
      <c r="C61" s="1" t="s">
        <v>91</v>
      </c>
      <c r="D61" s="297">
        <f>IFERROR(VLOOKUP(A61,'9+3 Savings LE'!D:F,3,FALSE),"N/A")</f>
        <v>20396</v>
      </c>
      <c r="E61" s="251">
        <v>13994</v>
      </c>
      <c r="F61" s="200">
        <f t="shared" si="22"/>
        <v>13994</v>
      </c>
      <c r="G61" s="299">
        <f>VLOOKUP(A61,'9+3 Savings LE'!D:E,2,FALSE)</f>
        <v>26615</v>
      </c>
      <c r="H61" s="87">
        <f t="shared" si="1"/>
        <v>0.76633477362389635</v>
      </c>
      <c r="I61" s="309">
        <f>VLOOKUP(B61,'9+3 Spend LE'!E:H,4,FALSE)</f>
        <v>2188213.89</v>
      </c>
      <c r="J61" s="215">
        <f>I61*0.65</f>
        <v>1422339.0285000002</v>
      </c>
      <c r="K61" s="215">
        <f t="shared" si="15"/>
        <v>765874.86149999988</v>
      </c>
      <c r="L61" s="295">
        <f>VLOOKUP(B61,'9+3 Spend LE'!E:H,2,FALSE)</f>
        <v>1905330.4777485845</v>
      </c>
      <c r="M61" s="295">
        <f>VLOOKUP(B61,'9+3 Spend LE'!E:H,3,FALSE)</f>
        <v>3225468.1653709263</v>
      </c>
      <c r="N61" s="87">
        <f t="shared" si="23"/>
        <v>0.67841745067986348</v>
      </c>
      <c r="O61" s="245"/>
      <c r="P61" s="162"/>
      <c r="Q61" s="66"/>
      <c r="R61" s="66"/>
      <c r="S61" s="66"/>
      <c r="T61" s="66"/>
      <c r="U61" s="66"/>
      <c r="V61" s="66"/>
      <c r="W61" s="66"/>
      <c r="X61" s="66"/>
      <c r="Y61" s="66"/>
      <c r="Z61" s="66"/>
      <c r="AA61" s="66"/>
    </row>
    <row r="62" spans="1:27" ht="15" hidden="1" x14ac:dyDescent="0.25">
      <c r="A62" s="286"/>
      <c r="B62" s="286"/>
      <c r="C62" s="302" t="s">
        <v>92</v>
      </c>
      <c r="D62" s="297" t="str">
        <f>IFERROR(VLOOKUP(A62,'9+3 Savings LE'!D:F,3,FALSE),"N/A")</f>
        <v>N/A</v>
      </c>
      <c r="E62" s="248" t="s">
        <v>38</v>
      </c>
      <c r="F62" s="203" t="str">
        <f>E62</f>
        <v>N/A</v>
      </c>
      <c r="G62" s="297"/>
      <c r="H62" s="87" t="str">
        <f t="shared" si="1"/>
        <v>N/A</v>
      </c>
      <c r="I62" s="309" t="s">
        <v>38</v>
      </c>
      <c r="J62" s="215" t="s">
        <v>38</v>
      </c>
      <c r="K62" s="215" t="str">
        <f t="shared" ref="K62" si="24">J62</f>
        <v>N/A</v>
      </c>
      <c r="L62" s="295" t="s">
        <v>38</v>
      </c>
      <c r="M62" s="295" t="str">
        <f t="shared" ref="M62" si="25">IF(AND(ISNUMBER(L62)=TRUE,L62&lt;&gt;0),I62/L62,"N/A")</f>
        <v>N/A</v>
      </c>
      <c r="N62" s="87" t="str">
        <f t="shared" si="23"/>
        <v>N/A</v>
      </c>
      <c r="O62" s="245"/>
      <c r="P62" s="163"/>
      <c r="Q62" s="66"/>
      <c r="R62" s="66"/>
      <c r="S62" s="66"/>
      <c r="T62" s="66"/>
      <c r="U62" s="66"/>
      <c r="V62" s="66"/>
      <c r="W62" s="66"/>
      <c r="X62" s="66"/>
      <c r="Y62" s="66"/>
      <c r="Z62" s="66"/>
      <c r="AA62" s="66"/>
    </row>
    <row r="63" spans="1:27" ht="15" x14ac:dyDescent="0.25">
      <c r="A63" s="285" t="s">
        <v>93</v>
      </c>
      <c r="B63" s="285" t="s">
        <v>94</v>
      </c>
      <c r="C63" s="1" t="s">
        <v>95</v>
      </c>
      <c r="D63" s="297">
        <f>IFERROR(VLOOKUP(A63,'9+3 Savings LE'!D:F,3,FALSE),"N/A")</f>
        <v>9993.91</v>
      </c>
      <c r="E63" s="251">
        <v>13613</v>
      </c>
      <c r="F63" s="200">
        <f t="shared" si="22"/>
        <v>13613</v>
      </c>
      <c r="G63" s="299">
        <f>VLOOKUP(A63,'9+3 Savings LE'!D:E,2,FALSE)</f>
        <v>17253.91</v>
      </c>
      <c r="H63" s="87">
        <f t="shared" si="1"/>
        <v>0.57922581026561515</v>
      </c>
      <c r="I63" s="309">
        <f>VLOOKUP(B63,'9+3 Spend LE'!E:H,4,FALSE)</f>
        <v>2716976.9400000004</v>
      </c>
      <c r="J63" s="215">
        <f>I63*0.65</f>
        <v>1766035.0110000004</v>
      </c>
      <c r="K63" s="215">
        <f t="shared" si="15"/>
        <v>950941.929</v>
      </c>
      <c r="L63" s="295">
        <f>VLOOKUP(B63,'9+3 Spend LE'!E:H,2,FALSE)</f>
        <v>4686146</v>
      </c>
      <c r="M63" s="295">
        <f>VLOOKUP(B63,'9+3 Spend LE'!E:H,3,FALSE)</f>
        <v>4979985.1900000013</v>
      </c>
      <c r="N63" s="87">
        <f t="shared" si="23"/>
        <v>0.54557932129111408</v>
      </c>
      <c r="O63" s="245"/>
      <c r="P63" s="233"/>
      <c r="Q63" s="193"/>
      <c r="R63" s="193"/>
      <c r="S63" s="66"/>
      <c r="T63" s="66"/>
      <c r="U63" s="66"/>
      <c r="V63" s="66"/>
      <c r="W63" s="66"/>
      <c r="X63" s="66"/>
      <c r="Y63" s="66"/>
      <c r="Z63" s="66"/>
      <c r="AA63" s="66"/>
    </row>
    <row r="64" spans="1:27" ht="15" x14ac:dyDescent="0.25">
      <c r="A64" s="285" t="s">
        <v>96</v>
      </c>
      <c r="B64" s="285" t="s">
        <v>97</v>
      </c>
      <c r="C64" s="1" t="s">
        <v>98</v>
      </c>
      <c r="D64" s="297">
        <f>IFERROR(VLOOKUP(A64,'9+3 Savings LE'!D:F,3,FALSE),"N/A")</f>
        <v>1550.82</v>
      </c>
      <c r="E64" s="251">
        <v>7550</v>
      </c>
      <c r="F64" s="200">
        <f t="shared" si="22"/>
        <v>7550</v>
      </c>
      <c r="G64" s="299">
        <f>VLOOKUP(A64,'9+3 Savings LE'!D:E,2,FALSE)</f>
        <v>7550.82</v>
      </c>
      <c r="H64" s="87">
        <f t="shared" si="1"/>
        <v>0.20538431587562675</v>
      </c>
      <c r="I64" s="309">
        <f>VLOOKUP(B64,'9+3 Spend LE'!E:H,4,FALSE)</f>
        <v>941533.37</v>
      </c>
      <c r="J64" s="215">
        <v>0</v>
      </c>
      <c r="K64" s="215">
        <f t="shared" si="15"/>
        <v>941533.37</v>
      </c>
      <c r="L64" s="295">
        <f>VLOOKUP(B64,'9+3 Spend LE'!E:H,2,FALSE)</f>
        <v>1570568.9033333333</v>
      </c>
      <c r="M64" s="295">
        <f>VLOOKUP(B64,'9+3 Spend LE'!E:H,3,FALSE)</f>
        <v>1586479.7799999998</v>
      </c>
      <c r="N64" s="87">
        <f t="shared" si="23"/>
        <v>0.59347328712881553</v>
      </c>
      <c r="O64" s="245"/>
      <c r="P64" s="162"/>
      <c r="Q64" s="66"/>
      <c r="R64" s="66"/>
      <c r="S64" s="66"/>
      <c r="T64" s="66"/>
      <c r="U64" s="66"/>
      <c r="V64" s="66"/>
      <c r="W64" s="66"/>
      <c r="X64" s="66"/>
      <c r="Y64" s="66"/>
      <c r="Z64" s="66"/>
      <c r="AA64" s="66"/>
    </row>
    <row r="65" spans="1:27" ht="15" x14ac:dyDescent="0.25">
      <c r="A65" s="285" t="s">
        <v>99</v>
      </c>
      <c r="B65" s="285" t="s">
        <v>100</v>
      </c>
      <c r="C65" s="1" t="s">
        <v>101</v>
      </c>
      <c r="D65" s="297">
        <f>IFERROR(VLOOKUP(A65,'9+3 Savings LE'!D:F,3,FALSE),"N/A")</f>
        <v>467</v>
      </c>
      <c r="E65" s="251">
        <v>833</v>
      </c>
      <c r="F65" s="200">
        <f t="shared" si="22"/>
        <v>833</v>
      </c>
      <c r="G65" s="299">
        <f>VLOOKUP(A65,'9+3 Savings LE'!D:E,2,FALSE)</f>
        <v>1114</v>
      </c>
      <c r="H65" s="87">
        <f t="shared" si="1"/>
        <v>0.41921005385996407</v>
      </c>
      <c r="I65" s="309">
        <f>VLOOKUP(B65,'9+3 Spend LE'!E:H,4,FALSE)</f>
        <v>291359.12</v>
      </c>
      <c r="J65" s="215">
        <f>I65*0.65</f>
        <v>189383.42800000001</v>
      </c>
      <c r="K65" s="215">
        <f t="shared" si="15"/>
        <v>101975.69199999998</v>
      </c>
      <c r="L65" s="295">
        <f>VLOOKUP(B65,'9+3 Spend LE'!E:H,2,FALSE)</f>
        <v>435778.2781883899</v>
      </c>
      <c r="M65" s="295">
        <f>VLOOKUP(B65,'9+3 Spend LE'!E:H,3,FALSE)</f>
        <v>481386.44865800627</v>
      </c>
      <c r="N65" s="87">
        <f t="shared" si="23"/>
        <v>0.60524994173027014</v>
      </c>
      <c r="O65" s="245"/>
      <c r="P65" s="163"/>
      <c r="Q65" s="66"/>
      <c r="R65" s="66"/>
      <c r="S65" s="66"/>
      <c r="T65" s="66"/>
      <c r="U65" s="66"/>
      <c r="V65" s="66"/>
      <c r="W65" s="66"/>
      <c r="X65" s="66"/>
      <c r="Y65" s="66"/>
      <c r="Z65" s="66"/>
      <c r="AA65" s="66"/>
    </row>
    <row r="66" spans="1:27" ht="15" x14ac:dyDescent="0.25">
      <c r="A66" s="285"/>
      <c r="B66" s="285" t="s">
        <v>102</v>
      </c>
      <c r="C66" s="1" t="s">
        <v>103</v>
      </c>
      <c r="D66" s="297" t="str">
        <f>IFERROR(VLOOKUP(A66,'9+3 Savings LE'!D:F,3,FALSE),"N/A")</f>
        <v>N/A</v>
      </c>
      <c r="E66" s="248" t="s">
        <v>38</v>
      </c>
      <c r="F66" s="203" t="str">
        <f>E66</f>
        <v>N/A</v>
      </c>
      <c r="G66" s="297" t="s">
        <v>38</v>
      </c>
      <c r="H66" s="87" t="str">
        <f t="shared" si="1"/>
        <v>N/A</v>
      </c>
      <c r="I66" s="309">
        <f>VLOOKUP(B66,'9+3 Spend LE'!E:H,4,FALSE)</f>
        <v>211254.39999999999</v>
      </c>
      <c r="J66" s="215">
        <f>I66*0.65</f>
        <v>137315.36000000002</v>
      </c>
      <c r="K66" s="215">
        <f t="shared" si="15"/>
        <v>73939.039999999979</v>
      </c>
      <c r="L66" s="295">
        <f>VLOOKUP(B66,'9+3 Spend LE'!E:H,2,FALSE)</f>
        <v>568342.6399999999</v>
      </c>
      <c r="M66" s="295">
        <f>VLOOKUP(B66,'9+3 Spend LE'!E:H,3,FALSE)</f>
        <v>398363.07999999996</v>
      </c>
      <c r="N66" s="87"/>
      <c r="O66" s="245"/>
      <c r="P66" s="233"/>
      <c r="Q66" s="193"/>
      <c r="R66" s="193"/>
      <c r="S66" s="66"/>
      <c r="T66" s="66"/>
      <c r="U66" s="66"/>
      <c r="V66" s="66"/>
      <c r="W66" s="66"/>
      <c r="X66" s="66"/>
      <c r="Y66" s="66"/>
      <c r="Z66" s="66"/>
      <c r="AA66" s="66"/>
    </row>
    <row r="67" spans="1:27" ht="15" x14ac:dyDescent="0.25">
      <c r="A67" s="285" t="s">
        <v>104</v>
      </c>
      <c r="B67" s="285" t="s">
        <v>105</v>
      </c>
      <c r="C67" s="1" t="s">
        <v>106</v>
      </c>
      <c r="D67" s="297">
        <f>IFERROR(VLOOKUP(A67,'9+3 Savings LE'!D:F,3,FALSE),"N/A")</f>
        <v>39.67</v>
      </c>
      <c r="E67" s="251">
        <v>74</v>
      </c>
      <c r="F67" s="200">
        <f t="shared" ref="F67" si="26">E67</f>
        <v>74</v>
      </c>
      <c r="G67" s="299">
        <f>VLOOKUP(A67,'9+3 Savings LE'!D:E,2,FALSE)</f>
        <v>66.899999999999991</v>
      </c>
      <c r="H67" s="87">
        <f t="shared" si="1"/>
        <v>0.59297458893871458</v>
      </c>
      <c r="I67" s="309">
        <f>VLOOKUP(B67,'9+3 Spend LE'!E:H,4,FALSE)</f>
        <v>19201.850000000006</v>
      </c>
      <c r="J67" s="215">
        <v>0</v>
      </c>
      <c r="K67" s="215">
        <f t="shared" si="15"/>
        <v>19201.850000000006</v>
      </c>
      <c r="L67" s="295">
        <f>VLOOKUP(B67,'9+3 Spend LE'!E:H,2,FALSE)</f>
        <v>23576.089999999993</v>
      </c>
      <c r="M67" s="295">
        <f>VLOOKUP(B67,'9+3 Spend LE'!E:H,3,FALSE)</f>
        <v>25597.686666666676</v>
      </c>
      <c r="N67" s="87">
        <f t="shared" si="23"/>
        <v>0.75014005171821507</v>
      </c>
      <c r="O67" s="245"/>
      <c r="P67" s="162"/>
      <c r="Q67" s="66"/>
      <c r="R67" s="66"/>
      <c r="S67" s="66"/>
      <c r="T67" s="66"/>
      <c r="U67" s="66"/>
      <c r="V67" s="66"/>
      <c r="W67" s="66"/>
      <c r="X67" s="66"/>
      <c r="Y67" s="66"/>
      <c r="Z67" s="66"/>
      <c r="AA67" s="66"/>
    </row>
    <row r="68" spans="1:27" ht="15" x14ac:dyDescent="0.25">
      <c r="A68" s="285"/>
      <c r="B68" s="285" t="s">
        <v>107</v>
      </c>
      <c r="C68" s="1" t="s">
        <v>108</v>
      </c>
      <c r="D68" s="297" t="str">
        <f>IFERROR(VLOOKUP(A68,'9+3 Savings LE'!D:F,3,FALSE),"N/A")</f>
        <v>N/A</v>
      </c>
      <c r="E68" s="248" t="s">
        <v>38</v>
      </c>
      <c r="F68" s="84" t="str">
        <f>E68</f>
        <v>N/A</v>
      </c>
      <c r="G68" s="297" t="s">
        <v>38</v>
      </c>
      <c r="H68" s="84" t="str">
        <f>IF(AND(ISNUMBER(G68)=TRUE,G68&lt;&gt;0),D68/G68,"N/A")</f>
        <v>N/A</v>
      </c>
      <c r="I68" s="309">
        <f>VLOOKUP(B68,'9+3 Spend LE'!E:H,4,FALSE)</f>
        <v>1250917.9199999997</v>
      </c>
      <c r="J68" s="215">
        <v>0</v>
      </c>
      <c r="K68" s="215">
        <f>I68-J68</f>
        <v>1250917.9199999997</v>
      </c>
      <c r="L68" s="295">
        <f>VLOOKUP(B68,'9+3 Spend LE'!E:H,2,FALSE)</f>
        <v>1863240.9999999998</v>
      </c>
      <c r="M68" s="295">
        <f>VLOOKUP(B68,'9+3 Spend LE'!E:H,3,FALSE)</f>
        <v>2858690.3499999992</v>
      </c>
      <c r="N68" s="87">
        <f t="shared" si="23"/>
        <v>0.43758426651560917</v>
      </c>
      <c r="O68" s="245"/>
      <c r="P68" s="163"/>
      <c r="Q68" s="66"/>
      <c r="R68" s="66"/>
      <c r="S68" s="66"/>
      <c r="T68" s="66"/>
      <c r="U68" s="66"/>
      <c r="V68" s="66"/>
      <c r="W68" s="66"/>
      <c r="X68" s="66"/>
      <c r="Y68" s="66"/>
      <c r="Z68" s="66"/>
      <c r="AA68" s="66"/>
    </row>
    <row r="69" spans="1:27" ht="20.100000000000001" customHeight="1" x14ac:dyDescent="0.25">
      <c r="A69" s="373"/>
      <c r="B69" s="374"/>
      <c r="C69" s="41" t="s">
        <v>109</v>
      </c>
      <c r="D69" s="292">
        <f>SUM(D57,D60:D68)</f>
        <v>62366.54</v>
      </c>
      <c r="E69" s="220">
        <f>SUM(E57,E60:E68)</f>
        <v>110331.708042</v>
      </c>
      <c r="F69" s="220">
        <f>SUM(F57,F60:F68)</f>
        <v>110331.708042</v>
      </c>
      <c r="G69" s="220">
        <f>SUM(G57,G60:G68)</f>
        <v>107562.66</v>
      </c>
      <c r="H69" s="221">
        <f t="shared" si="1"/>
        <v>0.57981589521865673</v>
      </c>
      <c r="I69" s="310">
        <f>SUM(I57,I60:I68)</f>
        <v>19297465.940000001</v>
      </c>
      <c r="J69" s="222">
        <f>SUM(J57,J60:J68)</f>
        <v>11105778.319999998</v>
      </c>
      <c r="K69" s="222">
        <f>SUM(K57,K60:K68)</f>
        <v>8191687.6199999992</v>
      </c>
      <c r="L69" s="222">
        <f>SUM(L57,L60:L68)</f>
        <v>37983029.649997592</v>
      </c>
      <c r="M69" s="222">
        <f>SUM(M57,M60:M68)</f>
        <v>35328296.271450408</v>
      </c>
      <c r="N69" s="88">
        <f>I69/M69</f>
        <v>0.54623256643130902</v>
      </c>
      <c r="O69" s="245"/>
      <c r="P69" s="233"/>
      <c r="Q69" s="193"/>
      <c r="R69" s="193"/>
      <c r="S69" s="66"/>
      <c r="T69" s="66"/>
      <c r="U69" s="66"/>
      <c r="V69" s="66"/>
      <c r="W69" s="66"/>
      <c r="X69" s="66"/>
      <c r="Y69" s="66"/>
      <c r="Z69" s="66"/>
      <c r="AA69" s="66"/>
    </row>
    <row r="70" spans="1:27" ht="20.100000000000001" customHeight="1" x14ac:dyDescent="0.25">
      <c r="A70" s="375"/>
      <c r="B70" s="376"/>
      <c r="C70" s="291" t="s">
        <v>110</v>
      </c>
      <c r="D70" s="205"/>
      <c r="E70" s="205"/>
      <c r="F70" s="205"/>
      <c r="G70" s="205"/>
      <c r="H70" s="199"/>
      <c r="I70" s="212"/>
      <c r="J70" s="17"/>
      <c r="K70" s="17"/>
      <c r="L70" s="17"/>
      <c r="M70" s="17"/>
      <c r="N70" s="18"/>
      <c r="O70" s="245"/>
      <c r="P70" s="162"/>
      <c r="Q70" s="66"/>
      <c r="R70" s="66"/>
      <c r="S70" s="66"/>
      <c r="T70" s="66"/>
      <c r="U70" s="66"/>
      <c r="V70" s="66"/>
      <c r="W70" s="66"/>
      <c r="X70" s="66"/>
      <c r="Y70" s="66"/>
      <c r="Z70" s="66"/>
      <c r="AA70" s="66"/>
    </row>
    <row r="71" spans="1:27" ht="15" x14ac:dyDescent="0.25">
      <c r="A71" s="377"/>
      <c r="B71" s="378"/>
      <c r="C71" s="1" t="s">
        <v>111</v>
      </c>
      <c r="D71" s="290">
        <f>D83</f>
        <v>79421</v>
      </c>
      <c r="E71" s="200">
        <f>E83</f>
        <v>93451</v>
      </c>
      <c r="F71" s="200">
        <f t="shared" ref="F71:F78" si="27">E71</f>
        <v>93451</v>
      </c>
      <c r="G71" s="201">
        <f>G83</f>
        <v>103001</v>
      </c>
      <c r="H71" s="86">
        <f t="shared" ref="H71:H90" si="28">IF(AND(ISNUMBER(G71)=TRUE,G71&lt;&gt;0),D71/G71,"N/A")</f>
        <v>0.77107018378462344</v>
      </c>
      <c r="I71" s="306">
        <f>I83</f>
        <v>0</v>
      </c>
      <c r="J71" s="214">
        <f>J83</f>
        <v>0</v>
      </c>
      <c r="K71" s="215">
        <f>K83</f>
        <v>0</v>
      </c>
      <c r="L71" s="215">
        <f>L83</f>
        <v>6259879.9600000009</v>
      </c>
      <c r="M71" s="215">
        <f>M83</f>
        <v>0</v>
      </c>
      <c r="N71" s="87" t="str">
        <f t="shared" ref="N71:N80" si="29">IF(M71=0,"N/A",I71/M71)</f>
        <v>N/A</v>
      </c>
      <c r="O71" s="245"/>
      <c r="P71" s="163"/>
      <c r="Q71" s="66"/>
      <c r="R71" s="66"/>
      <c r="S71" s="66"/>
      <c r="T71" s="66"/>
      <c r="U71" s="66"/>
      <c r="V71" s="66"/>
      <c r="W71" s="66"/>
      <c r="X71" s="66"/>
      <c r="Y71" s="66"/>
      <c r="Z71" s="66"/>
      <c r="AA71" s="66"/>
    </row>
    <row r="72" spans="1:27" ht="15" x14ac:dyDescent="0.25">
      <c r="A72" s="377"/>
      <c r="B72" s="378"/>
      <c r="C72" s="1" t="s">
        <v>112</v>
      </c>
      <c r="D72" s="290">
        <f>D84+D97+D96</f>
        <v>11105</v>
      </c>
      <c r="E72" s="200">
        <f>E84+E97+E96</f>
        <v>14309</v>
      </c>
      <c r="F72" s="200">
        <f t="shared" si="27"/>
        <v>14309</v>
      </c>
      <c r="G72" s="201">
        <f>G84+G96+G97</f>
        <v>14975</v>
      </c>
      <c r="H72" s="86">
        <f t="shared" si="28"/>
        <v>0.74156928213689477</v>
      </c>
      <c r="I72" s="306">
        <f>I84+I96+I97</f>
        <v>21112204.569999997</v>
      </c>
      <c r="J72" s="214">
        <f>J84+J96+J97</f>
        <v>13722932.970499998</v>
      </c>
      <c r="K72" s="215">
        <f>K84+K96+K97</f>
        <v>7389271.5994999986</v>
      </c>
      <c r="L72" s="215">
        <f>L84+L96+L97</f>
        <v>32319013.030044571</v>
      </c>
      <c r="M72" s="215">
        <f>M84+M96+M97</f>
        <v>32081242.34</v>
      </c>
      <c r="N72" s="87">
        <f t="shared" si="29"/>
        <v>0.6580856297973402</v>
      </c>
      <c r="O72" s="245"/>
      <c r="P72" s="233"/>
      <c r="Q72" s="193"/>
      <c r="R72" s="193"/>
      <c r="S72" s="66"/>
      <c r="T72" s="66"/>
      <c r="U72" s="66"/>
      <c r="V72" s="66"/>
      <c r="W72" s="66"/>
      <c r="X72" s="66"/>
      <c r="Y72" s="66"/>
      <c r="Z72" s="66"/>
      <c r="AA72" s="66"/>
    </row>
    <row r="73" spans="1:27" ht="15" x14ac:dyDescent="0.25">
      <c r="A73" s="377"/>
      <c r="B73" s="378"/>
      <c r="C73" s="1" t="s">
        <v>113</v>
      </c>
      <c r="D73" s="290">
        <f>D85+D98+D99</f>
        <v>23560</v>
      </c>
      <c r="E73" s="200">
        <f>E85+E98+E99</f>
        <v>33860</v>
      </c>
      <c r="F73" s="200">
        <f t="shared" si="27"/>
        <v>33860</v>
      </c>
      <c r="G73" s="201">
        <f>G98+G99+G85</f>
        <v>33113</v>
      </c>
      <c r="H73" s="86">
        <f t="shared" si="28"/>
        <v>0.71150303506175827</v>
      </c>
      <c r="I73" s="306">
        <f>I98+I99+I85</f>
        <v>24986095.669999998</v>
      </c>
      <c r="J73" s="214">
        <f>J98+J99+J85</f>
        <v>16240962.1855</v>
      </c>
      <c r="K73" s="215">
        <f>K98+K99+K85</f>
        <v>8745133.4844999984</v>
      </c>
      <c r="L73" s="215">
        <f>L98+L99+L85</f>
        <v>35329333.753200002</v>
      </c>
      <c r="M73" s="215">
        <f>M98+M99+M85</f>
        <v>36495581.004007988</v>
      </c>
      <c r="N73" s="87">
        <f t="shared" si="29"/>
        <v>0.68463345376679974</v>
      </c>
      <c r="O73" s="245"/>
      <c r="P73" s="162"/>
      <c r="Q73" s="66"/>
      <c r="R73" s="66"/>
      <c r="S73" s="66"/>
      <c r="T73" s="66"/>
      <c r="U73" s="66"/>
      <c r="V73" s="66"/>
      <c r="W73" s="66"/>
      <c r="X73" s="66"/>
      <c r="Y73" s="66"/>
      <c r="Z73" s="66"/>
      <c r="AA73" s="66"/>
    </row>
    <row r="74" spans="1:27" ht="15" x14ac:dyDescent="0.25">
      <c r="A74" s="375"/>
      <c r="B74" s="376"/>
      <c r="C74" s="1" t="s">
        <v>114</v>
      </c>
      <c r="D74" s="290">
        <f>D86+D100</f>
        <v>111833.04</v>
      </c>
      <c r="E74" s="200">
        <f>E100+E86</f>
        <v>203466.21002319999</v>
      </c>
      <c r="F74" s="200">
        <f t="shared" si="27"/>
        <v>203466.21002319999</v>
      </c>
      <c r="G74" s="201">
        <f>G86+G100</f>
        <v>136927.21</v>
      </c>
      <c r="H74" s="86">
        <f t="shared" si="28"/>
        <v>0.81673350388136878</v>
      </c>
      <c r="I74" s="306">
        <f t="shared" ref="I74:M75" si="30">I86+I100</f>
        <v>24335168.219999999</v>
      </c>
      <c r="J74" s="214">
        <f t="shared" si="30"/>
        <v>15817859.342999998</v>
      </c>
      <c r="K74" s="215">
        <f t="shared" si="30"/>
        <v>8517308.8769999985</v>
      </c>
      <c r="L74" s="215">
        <f t="shared" si="30"/>
        <v>35353710</v>
      </c>
      <c r="M74" s="215">
        <f t="shared" si="30"/>
        <v>33868070.589999996</v>
      </c>
      <c r="N74" s="87">
        <f t="shared" si="29"/>
        <v>0.71852833055052401</v>
      </c>
      <c r="O74" s="245"/>
      <c r="P74" s="163"/>
      <c r="Q74" s="66"/>
      <c r="R74" s="66"/>
      <c r="S74" s="66"/>
      <c r="T74" s="66"/>
      <c r="U74" s="66"/>
      <c r="V74" s="66"/>
      <c r="W74" s="66"/>
      <c r="X74" s="66"/>
      <c r="Y74" s="66"/>
      <c r="Z74" s="66"/>
      <c r="AA74" s="66"/>
    </row>
    <row r="75" spans="1:27" ht="15" x14ac:dyDescent="0.25">
      <c r="A75" s="375"/>
      <c r="B75" s="376"/>
      <c r="C75" s="1" t="s">
        <v>115</v>
      </c>
      <c r="D75" s="290">
        <f>D87+D101</f>
        <v>212795.34000000003</v>
      </c>
      <c r="E75" s="200">
        <f>E87+E101</f>
        <v>260360.18</v>
      </c>
      <c r="F75" s="200">
        <f t="shared" si="27"/>
        <v>260360.18</v>
      </c>
      <c r="G75" s="200">
        <f>G87+G101</f>
        <v>263771.93</v>
      </c>
      <c r="H75" s="86">
        <f t="shared" si="28"/>
        <v>0.80673989836598625</v>
      </c>
      <c r="I75" s="307">
        <f t="shared" si="30"/>
        <v>12968888.049999997</v>
      </c>
      <c r="J75" s="215">
        <f t="shared" si="30"/>
        <v>8429777.2324999999</v>
      </c>
      <c r="K75" s="215">
        <f t="shared" si="30"/>
        <v>4539110.817499999</v>
      </c>
      <c r="L75" s="215">
        <f t="shared" si="30"/>
        <v>15928440.27</v>
      </c>
      <c r="M75" s="215">
        <f t="shared" si="30"/>
        <v>16196465.619999999</v>
      </c>
      <c r="N75" s="87">
        <f t="shared" si="29"/>
        <v>0.80072334015796209</v>
      </c>
      <c r="O75" s="245"/>
      <c r="P75" s="233"/>
      <c r="Q75" s="193"/>
      <c r="R75" s="193"/>
      <c r="S75" s="66"/>
      <c r="T75" s="66"/>
      <c r="U75" s="66"/>
      <c r="V75" s="66"/>
      <c r="W75" s="66"/>
      <c r="X75" s="66"/>
      <c r="Y75" s="66"/>
      <c r="Z75" s="66"/>
      <c r="AA75" s="66"/>
    </row>
    <row r="76" spans="1:27" ht="15" x14ac:dyDescent="0.25">
      <c r="A76" s="375"/>
      <c r="B76" s="376"/>
      <c r="C76" s="1" t="s">
        <v>116</v>
      </c>
      <c r="D76" s="290">
        <f>D102</f>
        <v>1881.3700000000001</v>
      </c>
      <c r="E76" s="200">
        <f>E102</f>
        <v>2895</v>
      </c>
      <c r="F76" s="200">
        <f t="shared" si="27"/>
        <v>2895</v>
      </c>
      <c r="G76" s="200">
        <f>G102</f>
        <v>3361.1600000000008</v>
      </c>
      <c r="H76" s="86">
        <f t="shared" si="28"/>
        <v>0.55973830463292429</v>
      </c>
      <c r="I76" s="307">
        <f>I102</f>
        <v>1492210.21</v>
      </c>
      <c r="J76" s="215">
        <f>J102</f>
        <v>969936.63650000002</v>
      </c>
      <c r="K76" s="215">
        <f>K102</f>
        <v>522273.57349999994</v>
      </c>
      <c r="L76" s="215">
        <f>L102</f>
        <v>1737537</v>
      </c>
      <c r="M76" s="215">
        <f>M102</f>
        <v>2211908.41</v>
      </c>
      <c r="N76" s="87">
        <f t="shared" si="29"/>
        <v>0.67462567765181558</v>
      </c>
      <c r="O76" s="245"/>
      <c r="P76" s="162"/>
      <c r="Q76" s="66"/>
      <c r="R76" s="66"/>
      <c r="S76" s="66"/>
      <c r="T76" s="66"/>
      <c r="U76" s="66"/>
      <c r="V76" s="66"/>
      <c r="W76" s="66"/>
      <c r="X76" s="66"/>
      <c r="Y76" s="66"/>
      <c r="Z76" s="66"/>
      <c r="AA76" s="66"/>
    </row>
    <row r="77" spans="1:27" ht="15" x14ac:dyDescent="0.25">
      <c r="A77" s="375"/>
      <c r="B77" s="376"/>
      <c r="C77" s="1" t="s">
        <v>117</v>
      </c>
      <c r="D77" s="290">
        <f>D88</f>
        <v>155.13</v>
      </c>
      <c r="E77" s="200">
        <f>E88</f>
        <v>226</v>
      </c>
      <c r="F77" s="200">
        <f t="shared" si="27"/>
        <v>226</v>
      </c>
      <c r="G77" s="200">
        <f>G88</f>
        <v>297.24</v>
      </c>
      <c r="H77" s="86">
        <f t="shared" si="28"/>
        <v>0.52190149374243033</v>
      </c>
      <c r="I77" s="307">
        <f t="shared" ref="I77:M78" si="31">I88</f>
        <v>115889.39</v>
      </c>
      <c r="J77" s="215">
        <f t="shared" si="31"/>
        <v>75328.103499999997</v>
      </c>
      <c r="K77" s="215">
        <f t="shared" si="31"/>
        <v>40561.286500000002</v>
      </c>
      <c r="L77" s="215">
        <f t="shared" si="31"/>
        <v>185700</v>
      </c>
      <c r="M77" s="215">
        <f t="shared" si="31"/>
        <v>187250.58000000002</v>
      </c>
      <c r="N77" s="87">
        <f t="shared" si="29"/>
        <v>0.61890003224556089</v>
      </c>
      <c r="O77" s="245"/>
      <c r="P77" s="163"/>
      <c r="Q77" s="66"/>
      <c r="R77" s="66"/>
      <c r="S77" s="66"/>
      <c r="T77" s="66"/>
      <c r="U77" s="66"/>
      <c r="V77" s="66"/>
      <c r="W77" s="66"/>
      <c r="X77" s="66"/>
      <c r="Y77" s="66"/>
      <c r="Z77" s="66"/>
      <c r="AA77" s="66"/>
    </row>
    <row r="78" spans="1:27" ht="27" x14ac:dyDescent="0.25">
      <c r="A78" s="375"/>
      <c r="B78" s="376"/>
      <c r="C78" s="1" t="s">
        <v>118</v>
      </c>
      <c r="D78" s="290">
        <f>D89</f>
        <v>19401</v>
      </c>
      <c r="E78" s="200">
        <f>E89</f>
        <v>18516</v>
      </c>
      <c r="F78" s="200">
        <f t="shared" si="27"/>
        <v>18516</v>
      </c>
      <c r="G78" s="200">
        <f>G89</f>
        <v>23777</v>
      </c>
      <c r="H78" s="86">
        <f t="shared" si="28"/>
        <v>0.81595659671110732</v>
      </c>
      <c r="I78" s="307">
        <f t="shared" si="31"/>
        <v>2782708.1399999997</v>
      </c>
      <c r="J78" s="215">
        <f>J89</f>
        <v>1808760.2909999997</v>
      </c>
      <c r="K78" s="215">
        <f>K89</f>
        <v>973947.84899999993</v>
      </c>
      <c r="L78" s="215">
        <f t="shared" si="31"/>
        <v>3349555.25</v>
      </c>
      <c r="M78" s="215">
        <f t="shared" si="31"/>
        <v>4118513.53</v>
      </c>
      <c r="N78" s="87">
        <f t="shared" si="29"/>
        <v>0.67565837036354226</v>
      </c>
      <c r="O78" s="245"/>
      <c r="P78" s="233"/>
      <c r="Q78" s="193"/>
      <c r="R78" s="193"/>
      <c r="S78" s="66"/>
      <c r="T78" s="66"/>
      <c r="U78" s="66"/>
      <c r="V78" s="66"/>
      <c r="W78" s="66"/>
      <c r="X78" s="66"/>
      <c r="Y78" s="66"/>
      <c r="Z78" s="66"/>
      <c r="AA78" s="66"/>
    </row>
    <row r="79" spans="1:27" ht="15" x14ac:dyDescent="0.25">
      <c r="A79" s="375"/>
      <c r="B79" s="376"/>
      <c r="C79" s="1" t="s">
        <v>36</v>
      </c>
      <c r="D79" s="290">
        <f>IF(AND(D93&lt;&gt;"N/A",D103&lt;&gt;"N/A",D104&lt;&gt;"N/A"),D93+D103+D104+D92+D91,"N/A")</f>
        <v>2944.1039600000004</v>
      </c>
      <c r="E79" s="290">
        <f t="shared" ref="E79:G79" si="32">IF(AND(E93&lt;&gt;"N/A",E103&lt;&gt;"N/A",E104&lt;&gt;"N/A"),E93+E103+E104+E92+E91,"N/A")</f>
        <v>47573.199970000001</v>
      </c>
      <c r="F79" s="290">
        <f t="shared" si="32"/>
        <v>47573.199970000001</v>
      </c>
      <c r="G79" s="290">
        <f t="shared" si="32"/>
        <v>5683.0253799999991</v>
      </c>
      <c r="H79" s="86">
        <f>IF(AND(ISNUMBER(G79)=TRUE,G79&lt;&gt;0),D79/G79,"N/A")</f>
        <v>0.51805222801943585</v>
      </c>
      <c r="I79" s="307">
        <f>I93+I103+I92+I104</f>
        <v>13493159.569999998</v>
      </c>
      <c r="J79" s="215">
        <f t="shared" ref="J79:M79" si="33">J93+J103+J92+J104</f>
        <v>8770553.7204999998</v>
      </c>
      <c r="K79" s="215">
        <f t="shared" si="33"/>
        <v>4722605.8495000005</v>
      </c>
      <c r="L79" s="215">
        <f t="shared" si="33"/>
        <v>19587433.25</v>
      </c>
      <c r="M79" s="215">
        <f t="shared" si="33"/>
        <v>20847575.224505544</v>
      </c>
      <c r="N79" s="87">
        <f t="shared" si="29"/>
        <v>0.6472292064997226</v>
      </c>
      <c r="O79" s="245"/>
      <c r="P79" s="162"/>
      <c r="Q79" s="66"/>
      <c r="R79" s="66"/>
      <c r="S79" s="66"/>
      <c r="T79" s="66"/>
      <c r="U79" s="66"/>
      <c r="V79" s="66"/>
      <c r="W79" s="66"/>
      <c r="X79" s="66"/>
      <c r="Y79" s="66"/>
      <c r="Z79" s="66"/>
      <c r="AA79" s="66"/>
    </row>
    <row r="80" spans="1:27" ht="15" x14ac:dyDescent="0.25">
      <c r="A80" s="375"/>
      <c r="B80" s="376"/>
      <c r="C80" s="1" t="s">
        <v>119</v>
      </c>
      <c r="D80" s="290" t="str">
        <f>IF(AND(D94&lt;&gt;"N/A",D105&lt;&gt;"N/A"),D94+D105,"N/A")</f>
        <v>N/A</v>
      </c>
      <c r="E80" s="200" t="str">
        <f>IF(AND(E94&lt;&gt;"N/A",E105&lt;&gt;"N/A"),E94+E105,"N/A")</f>
        <v>N/A</v>
      </c>
      <c r="F80" s="200" t="str">
        <f t="shared" ref="F80:G80" si="34">E80</f>
        <v>N/A</v>
      </c>
      <c r="G80" s="200" t="str">
        <f t="shared" si="34"/>
        <v>N/A</v>
      </c>
      <c r="H80" s="86" t="str">
        <f t="shared" si="28"/>
        <v>N/A</v>
      </c>
      <c r="I80" s="307">
        <f>I90+I105</f>
        <v>394767.23222899996</v>
      </c>
      <c r="J80" s="215">
        <f>J94+J105</f>
        <v>13987458.34994885</v>
      </c>
      <c r="K80" s="215">
        <f>K94+K105</f>
        <v>7531708.3422801504</v>
      </c>
      <c r="L80" s="215">
        <f>L90+L105</f>
        <v>1898759</v>
      </c>
      <c r="M80" s="215">
        <f>M90+M105</f>
        <v>5150049.5322289998</v>
      </c>
      <c r="N80" s="87">
        <f t="shared" si="29"/>
        <v>7.6653094258326532E-2</v>
      </c>
      <c r="O80" s="245"/>
      <c r="P80" s="163"/>
      <c r="Q80" s="66"/>
      <c r="R80" s="66"/>
      <c r="S80" s="66"/>
      <c r="T80" s="66"/>
      <c r="U80" s="66"/>
      <c r="V80" s="66"/>
      <c r="W80" s="66"/>
      <c r="X80" s="66"/>
      <c r="Y80" s="66"/>
      <c r="Z80" s="66"/>
      <c r="AA80" s="66"/>
    </row>
    <row r="81" spans="1:27" ht="31.35" customHeight="1" x14ac:dyDescent="0.25">
      <c r="A81" s="375"/>
      <c r="B81" s="376"/>
      <c r="C81" s="2" t="s">
        <v>120</v>
      </c>
      <c r="D81" s="293">
        <f>SUM(D71:D80)</f>
        <v>463095.98395999998</v>
      </c>
      <c r="E81" s="202">
        <f>SUM(E71:E79)</f>
        <v>674656.58999320003</v>
      </c>
      <c r="F81" s="202">
        <f>SUM(F71:F79)</f>
        <v>674656.58999320003</v>
      </c>
      <c r="G81" s="202">
        <f>SUM(G71:G79)</f>
        <v>584906.56537999993</v>
      </c>
      <c r="H81" s="85">
        <f t="shared" si="28"/>
        <v>0.79174352173519802</v>
      </c>
      <c r="I81" s="308">
        <f>SUM(I71:I80)</f>
        <v>101681091.05222897</v>
      </c>
      <c r="J81" s="216">
        <f>SUM(J71:J80)</f>
        <v>79823568.832948849</v>
      </c>
      <c r="K81" s="216">
        <f>SUM(,K71:K80)</f>
        <v>42981921.679280147</v>
      </c>
      <c r="L81" s="216">
        <f>SUM(,L71:L80)</f>
        <v>151949361.51324457</v>
      </c>
      <c r="M81" s="216">
        <f>SUM(,M71:M80)</f>
        <v>151156656.83074254</v>
      </c>
      <c r="N81" s="190">
        <f>I81/M81</f>
        <v>0.67268682163357341</v>
      </c>
      <c r="O81" s="245"/>
      <c r="P81" s="233"/>
      <c r="Q81" s="193"/>
      <c r="R81" s="193"/>
      <c r="S81" s="66"/>
      <c r="T81" s="66"/>
      <c r="U81" s="66"/>
      <c r="V81" s="66"/>
      <c r="W81" s="66"/>
      <c r="X81" s="66"/>
      <c r="Y81" s="66"/>
      <c r="Z81" s="66"/>
      <c r="AA81" s="66"/>
    </row>
    <row r="82" spans="1:27" ht="20.100000000000001" customHeight="1" x14ac:dyDescent="0.25">
      <c r="A82" s="379"/>
      <c r="B82" s="380"/>
      <c r="C82" s="294" t="s">
        <v>121</v>
      </c>
      <c r="D82" s="207"/>
      <c r="E82" s="207"/>
      <c r="F82" s="207"/>
      <c r="G82" s="207"/>
      <c r="H82" s="207"/>
      <c r="I82" s="207"/>
      <c r="J82" s="197"/>
      <c r="K82" s="197"/>
      <c r="L82" s="197"/>
      <c r="M82" s="197"/>
      <c r="N82" s="198"/>
      <c r="O82" s="245"/>
      <c r="P82" s="233"/>
      <c r="Q82" s="193"/>
      <c r="R82" s="193"/>
      <c r="S82" s="66"/>
      <c r="T82" s="66"/>
      <c r="U82" s="66"/>
      <c r="V82" s="66"/>
      <c r="W82" s="66"/>
      <c r="X82" s="66"/>
      <c r="Y82" s="66"/>
      <c r="Z82" s="66"/>
      <c r="AA82" s="66"/>
    </row>
    <row r="83" spans="1:27" ht="15" x14ac:dyDescent="0.25">
      <c r="A83" s="361" t="s">
        <v>122</v>
      </c>
      <c r="B83" s="361" t="s">
        <v>123</v>
      </c>
      <c r="C83" s="1" t="s">
        <v>124</v>
      </c>
      <c r="D83" s="297">
        <f>IFERROR(VLOOKUP(A83,'9+3 Savings LE'!D:F,3,FALSE),"N/A")</f>
        <v>79421</v>
      </c>
      <c r="E83" s="204">
        <v>93451</v>
      </c>
      <c r="F83" s="203">
        <f t="shared" ref="F83:F93" si="35">E83</f>
        <v>93451</v>
      </c>
      <c r="G83" s="299">
        <f>VLOOKUP(A83,'9+3 Savings LE'!D:E,2,FALSE)</f>
        <v>103001</v>
      </c>
      <c r="H83" s="87">
        <f t="shared" si="28"/>
        <v>0.77107018378462344</v>
      </c>
      <c r="I83" s="309">
        <f>VLOOKUP(B83,'9+3 Spend LE'!E:H,4,FALSE)</f>
        <v>0</v>
      </c>
      <c r="J83" s="215">
        <f t="shared" ref="J83:J90" si="36">I83*0.65</f>
        <v>0</v>
      </c>
      <c r="K83" s="215">
        <f t="shared" ref="K83:K88" si="37">I83-J83</f>
        <v>0</v>
      </c>
      <c r="L83" s="295">
        <f>VLOOKUP(B83,'9+3 Spend LE'!E:H,2,FALSE)</f>
        <v>6259879.9600000009</v>
      </c>
      <c r="M83" s="295">
        <f>VLOOKUP(B83,'9+3 Spend LE'!E:H,3,FALSE)</f>
        <v>0</v>
      </c>
      <c r="N83" s="87" t="str">
        <f t="shared" ref="N83:N93" si="38">IF(M83=0,"N/A",I83/M83)</f>
        <v>N/A</v>
      </c>
      <c r="O83" s="245"/>
      <c r="P83" s="162"/>
      <c r="Q83" s="66"/>
      <c r="R83" s="66"/>
      <c r="S83" s="66"/>
      <c r="T83" s="66"/>
      <c r="U83" s="66"/>
      <c r="V83" s="66"/>
      <c r="W83" s="66"/>
      <c r="X83" s="66"/>
      <c r="Y83" s="66"/>
      <c r="Z83" s="66"/>
      <c r="AA83" s="66"/>
    </row>
    <row r="84" spans="1:27" ht="27" x14ac:dyDescent="0.25">
      <c r="A84" s="285" t="s">
        <v>125</v>
      </c>
      <c r="B84" s="285" t="s">
        <v>126</v>
      </c>
      <c r="C84" s="1" t="s">
        <v>127</v>
      </c>
      <c r="D84" s="297">
        <f>IFERROR(VLOOKUP(A84,'9+3 Savings LE'!D:F,3,FALSE),"N/A")</f>
        <v>515</v>
      </c>
      <c r="E84" s="204">
        <v>1706</v>
      </c>
      <c r="F84" s="203">
        <f t="shared" si="35"/>
        <v>1706</v>
      </c>
      <c r="G84" s="299">
        <f>VLOOKUP(A84,'9+3 Savings LE'!D:E,2,FALSE)</f>
        <v>804</v>
      </c>
      <c r="H84" s="87">
        <f>IF(AND(ISNUMBER(G84)=TRUE,G84&lt;&gt;0),D84/G84,"N/A")</f>
        <v>0.64054726368159209</v>
      </c>
      <c r="I84" s="309">
        <f>VLOOKUP(B84,'9+3 Spend LE'!E:H,4,FALSE)</f>
        <v>307964.46000000002</v>
      </c>
      <c r="J84" s="215">
        <f t="shared" si="36"/>
        <v>200176.89900000003</v>
      </c>
      <c r="K84" s="215">
        <f t="shared" si="37"/>
        <v>107787.56099999999</v>
      </c>
      <c r="L84" s="295">
        <f>VLOOKUP(B84,'9+3 Spend LE'!E:H,2,FALSE)</f>
        <v>574086.42142455769</v>
      </c>
      <c r="M84" s="295">
        <f>VLOOKUP(B84,'9+3 Spend LE'!E:H,3,FALSE)</f>
        <v>488016.51</v>
      </c>
      <c r="N84" s="87">
        <f t="shared" si="38"/>
        <v>0.63105336333805595</v>
      </c>
      <c r="O84" s="245"/>
      <c r="P84" s="163"/>
      <c r="Q84" s="66"/>
      <c r="R84" s="66"/>
      <c r="S84" s="66"/>
      <c r="T84" s="66"/>
      <c r="U84" s="66"/>
      <c r="V84" s="66"/>
      <c r="W84" s="66"/>
      <c r="X84" s="66"/>
      <c r="Y84" s="66"/>
      <c r="Z84" s="66"/>
      <c r="AA84" s="66"/>
    </row>
    <row r="85" spans="1:27" ht="15" x14ac:dyDescent="0.25">
      <c r="A85" s="285" t="s">
        <v>128</v>
      </c>
      <c r="B85" s="285" t="s">
        <v>129</v>
      </c>
      <c r="C85" s="1" t="s">
        <v>130</v>
      </c>
      <c r="D85" s="297">
        <f>IFERROR(VLOOKUP(A85,'9+3 Savings LE'!D:F,3,FALSE),"N/A")</f>
        <v>2741</v>
      </c>
      <c r="E85" s="204">
        <v>8200</v>
      </c>
      <c r="F85" s="203">
        <f t="shared" si="35"/>
        <v>8200</v>
      </c>
      <c r="G85" s="299">
        <f>VLOOKUP(A85,'9+3 Savings LE'!D:E,2,FALSE)</f>
        <v>4920</v>
      </c>
      <c r="H85" s="87">
        <f t="shared" si="28"/>
        <v>0.5571138211382114</v>
      </c>
      <c r="I85" s="309">
        <f>VLOOKUP(B85,'9+3 Spend LE'!E:H,4,FALSE)</f>
        <v>1651033.29</v>
      </c>
      <c r="J85" s="215">
        <f t="shared" si="36"/>
        <v>1073171.6385000001</v>
      </c>
      <c r="K85" s="215">
        <f t="shared" si="37"/>
        <v>577861.65149999992</v>
      </c>
      <c r="L85" s="295">
        <f>VLOOKUP(B85,'9+3 Spend LE'!E:H,2,FALSE)</f>
        <v>4107264.7532000006</v>
      </c>
      <c r="M85" s="295">
        <f>VLOOKUP(B85,'9+3 Spend LE'!E:H,3,FALSE)</f>
        <v>2792688.7710377667</v>
      </c>
      <c r="N85" s="87">
        <f t="shared" si="38"/>
        <v>0.59119845616970557</v>
      </c>
      <c r="O85" s="245"/>
      <c r="P85" s="233"/>
      <c r="Q85" s="193"/>
      <c r="R85" s="193"/>
      <c r="S85" s="66"/>
      <c r="T85" s="66"/>
      <c r="U85" s="66"/>
      <c r="V85" s="66"/>
      <c r="W85" s="66"/>
      <c r="X85" s="66"/>
      <c r="Y85" s="66"/>
      <c r="Z85" s="66"/>
      <c r="AA85" s="66"/>
    </row>
    <row r="86" spans="1:27" ht="40.5" x14ac:dyDescent="0.25">
      <c r="A86" s="392" t="s">
        <v>131</v>
      </c>
      <c r="B86" s="392" t="s">
        <v>132</v>
      </c>
      <c r="C86" s="1" t="s">
        <v>133</v>
      </c>
      <c r="D86" s="297">
        <f>IFERROR(VLOOKUP(A86,'9+3 Savings LE'!D:F,3,FALSE),"N/A")</f>
        <v>111833.04</v>
      </c>
      <c r="E86" s="204">
        <f>54984+4499+6000</f>
        <v>65483</v>
      </c>
      <c r="F86" s="203">
        <f t="shared" si="35"/>
        <v>65483</v>
      </c>
      <c r="G86" s="299">
        <f>VLOOKUP(A86,'9+3 Savings LE'!D:E,2,FALSE)</f>
        <v>136927.21</v>
      </c>
      <c r="H86" s="87">
        <f t="shared" si="28"/>
        <v>0.81673350388136878</v>
      </c>
      <c r="I86" s="309">
        <f>VLOOKUP(B86,'9+3 Spend LE'!E:H,4,FALSE)</f>
        <v>8142179.3300000001</v>
      </c>
      <c r="J86" s="215">
        <f t="shared" si="36"/>
        <v>5292416.5645000003</v>
      </c>
      <c r="K86" s="215">
        <f t="shared" si="37"/>
        <v>2849762.7654999997</v>
      </c>
      <c r="L86" s="295">
        <f>VLOOKUP(B86,'9+3 Spend LE'!E:H,2,FALSE)</f>
        <v>12959483</v>
      </c>
      <c r="M86" s="295">
        <f>VLOOKUP(B86,'9+3 Spend LE'!E:H,3,FALSE)</f>
        <v>11132478.59</v>
      </c>
      <c r="N86" s="87">
        <f t="shared" si="38"/>
        <v>0.73138962398848861</v>
      </c>
      <c r="O86" s="245"/>
      <c r="P86" s="181"/>
      <c r="Q86" s="66"/>
      <c r="R86" s="66"/>
      <c r="S86" s="66"/>
      <c r="T86" s="66"/>
      <c r="U86" s="66"/>
      <c r="V86" s="66"/>
      <c r="W86" s="66"/>
      <c r="X86" s="66"/>
      <c r="Y86" s="66"/>
      <c r="Z86" s="66"/>
      <c r="AA86" s="66"/>
    </row>
    <row r="87" spans="1:27" ht="15" x14ac:dyDescent="0.25">
      <c r="A87" s="285" t="s">
        <v>134</v>
      </c>
      <c r="B87" s="285" t="s">
        <v>135</v>
      </c>
      <c r="C87" s="1" t="s">
        <v>136</v>
      </c>
      <c r="D87" s="297">
        <f>IFERROR(VLOOKUP(A87,'9+3 Savings LE'!D:F,3,FALSE),"N/A")</f>
        <v>3334.6399999999994</v>
      </c>
      <c r="E87" s="204">
        <v>4974</v>
      </c>
      <c r="F87" s="203">
        <f t="shared" si="35"/>
        <v>4974</v>
      </c>
      <c r="G87" s="299">
        <f>VLOOKUP(A87,'9+3 Savings LE'!D:E,2,FALSE)</f>
        <v>3744.4999999999995</v>
      </c>
      <c r="H87" s="87">
        <f t="shared" si="28"/>
        <v>0.89054346374682869</v>
      </c>
      <c r="I87" s="309">
        <f>VLOOKUP(B87,'9+3 Spend LE'!E:H,4,FALSE)</f>
        <v>908261.95000000019</v>
      </c>
      <c r="J87" s="215">
        <f t="shared" si="36"/>
        <v>590370.26750000019</v>
      </c>
      <c r="K87" s="215">
        <f t="shared" si="37"/>
        <v>317891.6825</v>
      </c>
      <c r="L87" s="295">
        <f>VLOOKUP(B87,'9+3 Spend LE'!E:H,2,FALSE)</f>
        <v>924958</v>
      </c>
      <c r="M87" s="295">
        <f>VLOOKUP(B87,'9+3 Spend LE'!E:H,3,FALSE)</f>
        <v>938394.75000000023</v>
      </c>
      <c r="N87" s="87">
        <f t="shared" si="38"/>
        <v>0.96788899341135481</v>
      </c>
      <c r="O87" s="245"/>
      <c r="P87" s="192"/>
      <c r="Q87" s="193"/>
      <c r="R87" s="193"/>
      <c r="S87" s="66"/>
      <c r="T87" s="66"/>
      <c r="U87" s="66"/>
      <c r="V87" s="66"/>
      <c r="W87" s="66"/>
      <c r="X87" s="66"/>
      <c r="Y87" s="66"/>
      <c r="Z87" s="66"/>
      <c r="AA87" s="66"/>
    </row>
    <row r="88" spans="1:27" ht="15" x14ac:dyDescent="0.25">
      <c r="A88" s="285" t="s">
        <v>137</v>
      </c>
      <c r="B88" s="285" t="s">
        <v>138</v>
      </c>
      <c r="C88" s="1" t="s">
        <v>139</v>
      </c>
      <c r="D88" s="297">
        <f>IFERROR(VLOOKUP(A88,'9+3 Savings LE'!D:F,3,FALSE),"N/A")</f>
        <v>155.13</v>
      </c>
      <c r="E88" s="204">
        <v>226</v>
      </c>
      <c r="F88" s="203">
        <f t="shared" si="35"/>
        <v>226</v>
      </c>
      <c r="G88" s="299">
        <f>VLOOKUP(A88,'9+3 Savings LE'!D:E,2,FALSE)</f>
        <v>297.24</v>
      </c>
      <c r="H88" s="87">
        <f t="shared" si="28"/>
        <v>0.52190149374243033</v>
      </c>
      <c r="I88" s="309">
        <f>VLOOKUP(B88,'9+3 Spend LE'!E:H,4,FALSE)</f>
        <v>115889.39</v>
      </c>
      <c r="J88" s="215">
        <f t="shared" si="36"/>
        <v>75328.103499999997</v>
      </c>
      <c r="K88" s="215">
        <f t="shared" si="37"/>
        <v>40561.286500000002</v>
      </c>
      <c r="L88" s="295">
        <f>VLOOKUP(B88,'9+3 Spend LE'!E:H,2,FALSE)</f>
        <v>185700</v>
      </c>
      <c r="M88" s="295">
        <f>VLOOKUP(B88,'9+3 Spend LE'!E:H,3,FALSE)</f>
        <v>187250.58000000002</v>
      </c>
      <c r="N88" s="87">
        <f t="shared" si="38"/>
        <v>0.61890003224556089</v>
      </c>
      <c r="O88" s="245"/>
      <c r="P88" s="181"/>
      <c r="Q88" s="66"/>
      <c r="R88" s="66"/>
      <c r="S88" s="66"/>
      <c r="T88" s="66"/>
      <c r="U88" s="66"/>
      <c r="V88" s="66"/>
      <c r="W88" s="66"/>
      <c r="X88" s="66"/>
      <c r="Y88" s="66"/>
      <c r="Z88" s="66"/>
      <c r="AA88" s="66"/>
    </row>
    <row r="89" spans="1:27" ht="27" x14ac:dyDescent="0.25">
      <c r="A89" s="285" t="s">
        <v>140</v>
      </c>
      <c r="B89" s="285" t="s">
        <v>141</v>
      </c>
      <c r="C89" s="1" t="s">
        <v>118</v>
      </c>
      <c r="D89" s="297">
        <f>IFERROR(VLOOKUP(A89,'9+3 Savings LE'!D:F,3,FALSE),"N/A")</f>
        <v>19401</v>
      </c>
      <c r="E89" s="204">
        <v>18516</v>
      </c>
      <c r="F89" s="203">
        <f t="shared" si="35"/>
        <v>18516</v>
      </c>
      <c r="G89" s="299">
        <f>VLOOKUP(A89,'9+3 Savings LE'!D:E,2,FALSE)</f>
        <v>23777</v>
      </c>
      <c r="H89" s="87">
        <f t="shared" si="28"/>
        <v>0.81595659671110732</v>
      </c>
      <c r="I89" s="309">
        <f>VLOOKUP(B89,'9+3 Spend LE'!E:H,4,FALSE)</f>
        <v>2782708.1399999997</v>
      </c>
      <c r="J89" s="215">
        <f t="shared" si="36"/>
        <v>1808760.2909999997</v>
      </c>
      <c r="K89" s="215">
        <f>I89-J89</f>
        <v>973947.84899999993</v>
      </c>
      <c r="L89" s="295">
        <f>VLOOKUP(B89,'9+3 Spend LE'!E:H,2,FALSE)</f>
        <v>3349555.25</v>
      </c>
      <c r="M89" s="295">
        <f>VLOOKUP(B89,'9+3 Spend LE'!E:H,3,FALSE)</f>
        <v>4118513.53</v>
      </c>
      <c r="N89" s="87">
        <f t="shared" si="38"/>
        <v>0.67565837036354226</v>
      </c>
      <c r="O89" s="245"/>
      <c r="P89" s="163"/>
      <c r="Q89" s="66"/>
      <c r="R89" s="66"/>
      <c r="S89" s="113"/>
      <c r="T89" s="66"/>
      <c r="U89" s="66"/>
      <c r="V89" s="66"/>
      <c r="W89" s="66"/>
      <c r="X89" s="66"/>
      <c r="Y89" s="66"/>
      <c r="Z89" s="66"/>
      <c r="AA89" s="66"/>
    </row>
    <row r="90" spans="1:27" ht="15" x14ac:dyDescent="0.25">
      <c r="A90" s="386"/>
      <c r="B90" s="285" t="s">
        <v>142</v>
      </c>
      <c r="C90" s="1" t="s">
        <v>142</v>
      </c>
      <c r="D90" s="297" t="str">
        <f>IFERROR(VLOOKUP(A90,'9+3 Savings LE'!D:F,3,FALSE),"N/A")</f>
        <v>N/A</v>
      </c>
      <c r="E90" s="248" t="s">
        <v>38</v>
      </c>
      <c r="F90" s="203" t="str">
        <f t="shared" si="35"/>
        <v>N/A</v>
      </c>
      <c r="G90" s="299" t="str">
        <f>F90</f>
        <v>N/A</v>
      </c>
      <c r="H90" s="87" t="str">
        <f t="shared" si="28"/>
        <v>N/A</v>
      </c>
      <c r="I90" s="309">
        <f>VLOOKUP(B90,'9+3 Spend LE'!E:H,4,FALSE)</f>
        <v>175056.12999999998</v>
      </c>
      <c r="J90" s="215">
        <f t="shared" si="36"/>
        <v>113786.48449999999</v>
      </c>
      <c r="K90" s="215">
        <f>I90-J90</f>
        <v>61269.645499999984</v>
      </c>
      <c r="L90" s="295">
        <f>VLOOKUP(B90,'9+3 Spend LE'!E:H,2,FALSE)</f>
        <v>457500</v>
      </c>
      <c r="M90" s="295">
        <f>VLOOKUP(B90,'9+3 Spend LE'!E:H,3,FALSE)</f>
        <v>3754126.3</v>
      </c>
      <c r="N90" s="87">
        <f t="shared" si="38"/>
        <v>4.6630325143829067E-2</v>
      </c>
      <c r="O90" s="245"/>
      <c r="P90" s="163"/>
      <c r="Q90" s="66"/>
      <c r="R90" s="66"/>
      <c r="S90" s="113"/>
      <c r="T90" s="66"/>
      <c r="U90" s="66"/>
      <c r="V90" s="66"/>
      <c r="W90" s="66"/>
      <c r="X90" s="66"/>
      <c r="Y90" s="66"/>
      <c r="Z90" s="66"/>
      <c r="AA90" s="66"/>
    </row>
    <row r="91" spans="1:27" ht="15" x14ac:dyDescent="0.25">
      <c r="A91" s="415" t="s">
        <v>143</v>
      </c>
      <c r="B91" s="393"/>
      <c r="C91" s="1" t="s">
        <v>144</v>
      </c>
      <c r="D91" s="297">
        <f>IFERROR(VLOOKUP(A91,'9+3 Savings LE'!D:F,3,FALSE),"N/A")</f>
        <v>0</v>
      </c>
      <c r="E91" s="248">
        <v>152</v>
      </c>
      <c r="F91" s="203">
        <f t="shared" si="35"/>
        <v>152</v>
      </c>
      <c r="G91" s="299">
        <f>VLOOKUP(A91,'9+3 Savings LE'!D:E,2,FALSE)</f>
        <v>0</v>
      </c>
      <c r="H91" s="87" t="str">
        <f>IF(AND(ISNUMBER(G91)=TRUE,G91&lt;&gt;0),D91/G91,"N/A")</f>
        <v>N/A</v>
      </c>
      <c r="I91" s="296" t="s">
        <v>38</v>
      </c>
      <c r="J91" s="90" t="s">
        <v>38</v>
      </c>
      <c r="K91" s="90" t="s">
        <v>38</v>
      </c>
      <c r="L91" s="296" t="s">
        <v>38</v>
      </c>
      <c r="M91" s="296" t="s">
        <v>38</v>
      </c>
      <c r="N91" s="188" t="s">
        <v>38</v>
      </c>
      <c r="O91" s="245"/>
      <c r="P91" s="163"/>
      <c r="Q91" s="66"/>
      <c r="R91" s="66"/>
      <c r="S91" s="113"/>
      <c r="T91" s="66"/>
      <c r="U91" s="66"/>
      <c r="V91" s="66"/>
      <c r="W91" s="66"/>
      <c r="X91" s="66"/>
      <c r="Y91" s="66"/>
      <c r="Z91" s="66"/>
      <c r="AA91" s="66"/>
    </row>
    <row r="92" spans="1:27" ht="15" x14ac:dyDescent="0.25">
      <c r="A92" s="415" t="s">
        <v>145</v>
      </c>
      <c r="B92" s="285" t="s">
        <v>146</v>
      </c>
      <c r="C92" s="1" t="s">
        <v>147</v>
      </c>
      <c r="D92" s="297">
        <f>IFERROR(VLOOKUP(A92,'9+3 Savings LE'!D:F,3,FALSE),"N/A")</f>
        <v>0</v>
      </c>
      <c r="E92" s="248">
        <v>1067</v>
      </c>
      <c r="F92" s="203">
        <f t="shared" si="35"/>
        <v>1067</v>
      </c>
      <c r="G92" s="299">
        <f>VLOOKUP(A92,'9+3 Savings LE'!D:E,2,FALSE)</f>
        <v>0</v>
      </c>
      <c r="H92" s="87" t="str">
        <f>IF(AND(ISNUMBER(G92)=TRUE,G92&lt;&gt;0),D92/G92,"N/A")</f>
        <v>N/A</v>
      </c>
      <c r="I92" s="309">
        <f>VLOOKUP(B92,'9+3 Spend LE'!E:H,4,FALSE)</f>
        <v>366534.18</v>
      </c>
      <c r="J92" s="215">
        <f>I92*0.65</f>
        <v>238247.217</v>
      </c>
      <c r="K92" s="215">
        <f>I92-J92</f>
        <v>128286.96299999999</v>
      </c>
      <c r="L92" s="295">
        <f>VLOOKUP(B92,'9+3 Spend LE'!E:H,2,FALSE)</f>
        <v>742800</v>
      </c>
      <c r="M92" s="295">
        <f>VLOOKUP(B92,'9+3 Spend LE'!E:H,3,FALSE)</f>
        <v>725549.44</v>
      </c>
      <c r="N92" s="87">
        <f t="shared" si="38"/>
        <v>0.50518153525140896</v>
      </c>
      <c r="O92" s="245"/>
      <c r="P92" s="163"/>
      <c r="Q92" s="66"/>
      <c r="R92" s="66"/>
      <c r="S92" s="113"/>
      <c r="T92" s="66"/>
      <c r="U92" s="66"/>
      <c r="V92" s="66"/>
      <c r="W92" s="66"/>
      <c r="X92" s="66"/>
      <c r="Y92" s="66"/>
      <c r="Z92" s="66"/>
      <c r="AA92" s="66"/>
    </row>
    <row r="93" spans="1:27" ht="27" x14ac:dyDescent="0.25">
      <c r="A93" s="415" t="s">
        <v>148</v>
      </c>
      <c r="B93" s="288" t="s">
        <v>149</v>
      </c>
      <c r="C93" s="1" t="s">
        <v>150</v>
      </c>
      <c r="D93" s="297">
        <f>IFERROR(VLOOKUP(A93,'9+3 Savings LE'!D:F,3,FALSE),"N/A")</f>
        <v>0</v>
      </c>
      <c r="E93" s="248">
        <v>32799</v>
      </c>
      <c r="F93" s="203">
        <f t="shared" si="35"/>
        <v>32799</v>
      </c>
      <c r="G93" s="299">
        <f>VLOOKUP(A93,'9+3 Savings LE'!D:E,2,FALSE)</f>
        <v>0</v>
      </c>
      <c r="H93" s="87" t="str">
        <f>IF(AND(ISNUMBER(G93)=TRUE,G93&lt;&gt;0),D93/G93,"N/A")</f>
        <v>N/A</v>
      </c>
      <c r="I93" s="309">
        <f>VLOOKUP(B93,'9+3 Spend LE'!E:H,4,FALSE)</f>
        <v>6849828.7199999997</v>
      </c>
      <c r="J93" s="215">
        <f>I93*0.65</f>
        <v>4452388.6679999996</v>
      </c>
      <c r="K93" s="215">
        <f>I93-J93</f>
        <v>2397440.0520000001</v>
      </c>
      <c r="L93" s="295">
        <f>VLOOKUP(B93,'9+3 Spend LE'!E:H,2,FALSE)</f>
        <v>6643062.25</v>
      </c>
      <c r="M93" s="295">
        <f>VLOOKUP(B93,'9+3 Spend LE'!E:H,3,FALSE)</f>
        <v>8618952.3300000019</v>
      </c>
      <c r="N93" s="87">
        <f t="shared" si="38"/>
        <v>0.79474029530918622</v>
      </c>
      <c r="O93" s="245"/>
      <c r="P93" s="163"/>
      <c r="Q93" s="66"/>
      <c r="R93" s="66"/>
      <c r="S93" s="113"/>
      <c r="T93" s="66"/>
      <c r="U93" s="66"/>
      <c r="V93" s="66"/>
      <c r="W93" s="66"/>
      <c r="X93" s="66"/>
      <c r="Y93" s="66"/>
      <c r="Z93" s="66"/>
      <c r="AA93" s="66"/>
    </row>
    <row r="94" spans="1:27" ht="20.100000000000001" customHeight="1" x14ac:dyDescent="0.25">
      <c r="A94" s="416"/>
      <c r="B94" s="382"/>
      <c r="C94" s="287" t="s">
        <v>151</v>
      </c>
      <c r="D94" s="206">
        <f>SUM(D83:D93)</f>
        <v>217400.81</v>
      </c>
      <c r="E94" s="202">
        <f>SUM(E83:E93)</f>
        <v>226574</v>
      </c>
      <c r="F94" s="202">
        <f>SUM(F83:F93)</f>
        <v>226574</v>
      </c>
      <c r="G94" s="202">
        <f>SUM(G83:G93)</f>
        <v>273470.94999999995</v>
      </c>
      <c r="H94" s="85">
        <f>IF(AND(ISNUMBER(G94)=TRUE,G94&lt;&gt;0),D94/G94,"N/A")</f>
        <v>0.79496856978775998</v>
      </c>
      <c r="I94" s="308">
        <f>SUM(I83:I93)</f>
        <v>21299455.590000004</v>
      </c>
      <c r="J94" s="216">
        <f>SUM(J83:J93)</f>
        <v>13844646.1335</v>
      </c>
      <c r="K94" s="216">
        <f>SUM(K83:K93)</f>
        <v>7454809.4565000003</v>
      </c>
      <c r="L94" s="216">
        <f>SUM(L83:L93)</f>
        <v>36204289.634624556</v>
      </c>
      <c r="M94" s="216">
        <f>SUM(M83:M93)</f>
        <v>32755970.80103777</v>
      </c>
      <c r="N94" s="190">
        <f>I94/M94</f>
        <v>0.65024650679335683</v>
      </c>
      <c r="O94" s="245"/>
      <c r="P94" s="165"/>
      <c r="Q94" s="66"/>
      <c r="R94" s="66"/>
      <c r="S94" s="66"/>
      <c r="T94" s="66"/>
      <c r="U94" s="66"/>
      <c r="V94" s="66"/>
      <c r="W94" s="66"/>
      <c r="X94" s="66"/>
      <c r="Y94" s="66"/>
      <c r="Z94" s="66"/>
      <c r="AA94" s="66"/>
    </row>
    <row r="95" spans="1:27" ht="20.100000000000001" customHeight="1" x14ac:dyDescent="0.25">
      <c r="A95" s="417"/>
      <c r="B95" s="383"/>
      <c r="C95" s="197" t="s">
        <v>152</v>
      </c>
      <c r="D95" s="207"/>
      <c r="E95" s="207"/>
      <c r="F95" s="207"/>
      <c r="G95" s="207"/>
      <c r="H95" s="207"/>
      <c r="I95" s="207"/>
      <c r="J95" s="197"/>
      <c r="K95" s="197"/>
      <c r="L95" s="197"/>
      <c r="M95" s="197"/>
      <c r="N95" s="198"/>
      <c r="O95" s="245"/>
      <c r="P95" s="66"/>
      <c r="Q95" s="66"/>
      <c r="R95" s="66"/>
      <c r="S95" s="66"/>
      <c r="T95" s="66"/>
      <c r="U95" s="66"/>
      <c r="V95" s="66"/>
      <c r="W95" s="66"/>
      <c r="X95" s="66"/>
      <c r="Y95" s="66"/>
      <c r="Z95" s="66"/>
      <c r="AA95" s="66"/>
    </row>
    <row r="96" spans="1:27" ht="44.1" customHeight="1" x14ac:dyDescent="0.25">
      <c r="A96" s="418" t="s">
        <v>153</v>
      </c>
      <c r="B96" s="289" t="s">
        <v>154</v>
      </c>
      <c r="C96" s="1" t="s">
        <v>155</v>
      </c>
      <c r="D96" s="297">
        <f>IFERROR(VLOOKUP(A96,'9+3 Savings LE'!D:F,3,FALSE),"N/A")</f>
        <v>3144</v>
      </c>
      <c r="E96" s="297">
        <f>4668+427</f>
        <v>5095</v>
      </c>
      <c r="F96" s="209">
        <f t="shared" ref="F96:F105" si="39">E96</f>
        <v>5095</v>
      </c>
      <c r="G96" s="299">
        <f>VLOOKUP(A96,'9+3 Savings LE'!D:E,2,FALSE)</f>
        <v>4414</v>
      </c>
      <c r="H96" s="89">
        <f t="shared" ref="H96:H106" si="40">IF(AND(ISNUMBER(G96)=TRUE,G96&lt;&gt;0),D96/G96,"N/A")</f>
        <v>0.71227911191662896</v>
      </c>
      <c r="I96" s="309">
        <f>VLOOKUP(B96,'9+3 Spend LE'!E:H,4,FALSE)</f>
        <v>16781459.459999997</v>
      </c>
      <c r="J96" s="217">
        <f t="shared" ref="J96:J105" si="41">I96*0.65</f>
        <v>10907948.648999998</v>
      </c>
      <c r="K96" s="217">
        <f t="shared" ref="K96:K105" si="42">I96-J96</f>
        <v>5873510.8109999988</v>
      </c>
      <c r="L96" s="295">
        <f>VLOOKUP(B96,'9+3 Spend LE'!E:H,2,FALSE)</f>
        <v>27200000.162481137</v>
      </c>
      <c r="M96" s="295">
        <f>VLOOKUP(B96,'9+3 Spend LE'!E:H,3,FALSE)</f>
        <v>26280443.809999999</v>
      </c>
      <c r="N96" s="89">
        <f t="shared" ref="N96:N105" si="43">I96/M96</f>
        <v>0.63855312266889752</v>
      </c>
      <c r="O96" s="245"/>
      <c r="P96" s="164"/>
      <c r="Q96" s="66"/>
      <c r="R96" s="66"/>
      <c r="S96" s="66"/>
      <c r="T96" s="66"/>
      <c r="U96" s="66"/>
      <c r="V96" s="66"/>
      <c r="W96" s="66"/>
      <c r="X96" s="66"/>
      <c r="Y96" s="66"/>
      <c r="Z96" s="66"/>
      <c r="AA96" s="66"/>
    </row>
    <row r="97" spans="1:27" ht="27" x14ac:dyDescent="0.25">
      <c r="A97" s="285" t="s">
        <v>156</v>
      </c>
      <c r="B97" s="285" t="s">
        <v>157</v>
      </c>
      <c r="C97" s="1" t="s">
        <v>158</v>
      </c>
      <c r="D97" s="297">
        <f>IFERROR(VLOOKUP(A97,'9+3 Savings LE'!D:F,3,FALSE),"N/A")</f>
        <v>7446</v>
      </c>
      <c r="E97" s="208">
        <v>7508</v>
      </c>
      <c r="F97" s="209">
        <f t="shared" si="39"/>
        <v>7508</v>
      </c>
      <c r="G97" s="299">
        <f>VLOOKUP(A97,'9+3 Savings LE'!D:E,2,FALSE)</f>
        <v>9757</v>
      </c>
      <c r="H97" s="89">
        <f t="shared" si="40"/>
        <v>0.76314440914215431</v>
      </c>
      <c r="I97" s="309">
        <f>VLOOKUP(B97,'9+3 Spend LE'!E:H,4,FALSE)</f>
        <v>4022780.65</v>
      </c>
      <c r="J97" s="217">
        <f t="shared" si="41"/>
        <v>2614807.4224999999</v>
      </c>
      <c r="K97" s="217">
        <f t="shared" si="42"/>
        <v>1407973.2275</v>
      </c>
      <c r="L97" s="295">
        <f>VLOOKUP(B97,'9+3 Spend LE'!E:H,2,FALSE)</f>
        <v>4544926.4461388774</v>
      </c>
      <c r="M97" s="295">
        <f>VLOOKUP(B97,'9+3 Spend LE'!E:H,3,FALSE)</f>
        <v>5312782.0199999996</v>
      </c>
      <c r="N97" s="89">
        <f t="shared" si="43"/>
        <v>0.75718910259374805</v>
      </c>
      <c r="O97" s="245"/>
      <c r="P97" s="163"/>
      <c r="Q97" s="66"/>
      <c r="R97" s="66"/>
      <c r="S97" s="66"/>
      <c r="T97" s="66"/>
      <c r="U97" s="66"/>
      <c r="V97" s="66"/>
      <c r="W97" s="66"/>
      <c r="X97" s="66"/>
      <c r="Y97" s="66"/>
      <c r="Z97" s="66"/>
      <c r="AA97" s="66"/>
    </row>
    <row r="98" spans="1:27" ht="15" x14ac:dyDescent="0.25">
      <c r="A98" s="418" t="s">
        <v>159</v>
      </c>
      <c r="B98" s="392" t="s">
        <v>160</v>
      </c>
      <c r="C98" s="1" t="s">
        <v>161</v>
      </c>
      <c r="D98" s="297">
        <f>IFERROR(VLOOKUP(A98,'9+3 Savings LE'!D:F,3,FALSE),"N/A")</f>
        <v>19959</v>
      </c>
      <c r="E98" s="208">
        <f>22784+493</f>
        <v>23277</v>
      </c>
      <c r="F98" s="209">
        <f t="shared" si="39"/>
        <v>23277</v>
      </c>
      <c r="G98" s="299">
        <f>VLOOKUP(A98,'9+3 Savings LE'!D:E,2,FALSE)</f>
        <v>27252</v>
      </c>
      <c r="H98" s="89">
        <f t="shared" si="40"/>
        <v>0.73238661382650816</v>
      </c>
      <c r="I98" s="309">
        <f>VLOOKUP(B98,'9+3 Spend LE'!E:H,4,FALSE)</f>
        <v>22352333.219999999</v>
      </c>
      <c r="J98" s="217">
        <f t="shared" si="41"/>
        <v>14529016.593</v>
      </c>
      <c r="K98" s="217">
        <f t="shared" si="42"/>
        <v>7823316.6269999985</v>
      </c>
      <c r="L98" s="295">
        <f>VLOOKUP(B98,'9+3 Spend LE'!E:H,2,FALSE)</f>
        <v>29349880</v>
      </c>
      <c r="M98" s="295">
        <f>VLOOKUP(B98,'9+3 Spend LE'!E:H,3,FALSE)</f>
        <v>31865461.971111819</v>
      </c>
      <c r="N98" s="89">
        <f t="shared" si="43"/>
        <v>0.70145956899240591</v>
      </c>
      <c r="O98" s="245"/>
      <c r="P98" s="163"/>
      <c r="Q98" s="66"/>
      <c r="R98" s="66"/>
      <c r="S98" s="66"/>
      <c r="T98" s="66"/>
      <c r="U98" s="66"/>
      <c r="V98" s="66"/>
      <c r="W98" s="66"/>
      <c r="X98" s="66"/>
      <c r="Y98" s="66"/>
      <c r="Z98" s="66"/>
      <c r="AA98" s="66"/>
    </row>
    <row r="99" spans="1:27" ht="15" x14ac:dyDescent="0.25">
      <c r="A99" s="285" t="s">
        <v>162</v>
      </c>
      <c r="B99" s="285" t="s">
        <v>163</v>
      </c>
      <c r="C99" s="1" t="s">
        <v>164</v>
      </c>
      <c r="D99" s="297">
        <f>IFERROR(VLOOKUP(A99,'9+3 Savings LE'!D:F,3,FALSE),"N/A")</f>
        <v>860</v>
      </c>
      <c r="E99" s="208">
        <v>2383</v>
      </c>
      <c r="F99" s="209">
        <f t="shared" si="39"/>
        <v>2383</v>
      </c>
      <c r="G99" s="299">
        <f>VLOOKUP(A99,'9+3 Savings LE'!D:E,2,FALSE)</f>
        <v>941</v>
      </c>
      <c r="H99" s="89">
        <f t="shared" si="40"/>
        <v>0.91392136025504778</v>
      </c>
      <c r="I99" s="309">
        <f>VLOOKUP(B99,'9+3 Spend LE'!E:H,4,FALSE)</f>
        <v>982729.16</v>
      </c>
      <c r="J99" s="217">
        <f t="shared" si="41"/>
        <v>638773.95400000003</v>
      </c>
      <c r="K99" s="217">
        <f t="shared" si="42"/>
        <v>343955.20600000001</v>
      </c>
      <c r="L99" s="295">
        <f>VLOOKUP(B99,'9+3 Spend LE'!E:H,2,FALSE)</f>
        <v>1872189</v>
      </c>
      <c r="M99" s="295">
        <f>VLOOKUP(B99,'9+3 Spend LE'!E:H,3,FALSE)</f>
        <v>1837430.2618584</v>
      </c>
      <c r="N99" s="89">
        <f t="shared" si="43"/>
        <v>0.53483888907220645</v>
      </c>
      <c r="O99" s="245"/>
      <c r="P99" s="163"/>
      <c r="Q99" s="66"/>
      <c r="R99" s="66"/>
      <c r="S99" s="66"/>
      <c r="T99" s="66"/>
      <c r="U99" s="66"/>
      <c r="V99" s="66"/>
      <c r="W99" s="66"/>
      <c r="X99" s="66"/>
      <c r="Y99" s="66"/>
      <c r="Z99" s="66"/>
      <c r="AA99" s="66"/>
    </row>
    <row r="100" spans="1:27" ht="15" x14ac:dyDescent="0.25">
      <c r="A100" s="394" t="s">
        <v>165</v>
      </c>
      <c r="B100" s="285" t="s">
        <v>166</v>
      </c>
      <c r="C100" s="83" t="s">
        <v>167</v>
      </c>
      <c r="D100" s="297">
        <f>IFERROR(VLOOKUP(A100,'9+3 Savings LE'!D:F,3,FALSE),"N/A")</f>
        <v>0</v>
      </c>
      <c r="E100" s="208">
        <f>137982+1.2100232</f>
        <v>137983.21002319999</v>
      </c>
      <c r="F100" s="209">
        <f t="shared" si="39"/>
        <v>137983.21002319999</v>
      </c>
      <c r="G100" s="299">
        <f>VLOOKUP(A100,'9+3 Savings LE'!D:E,2,FALSE)</f>
        <v>0</v>
      </c>
      <c r="H100" s="89" t="str">
        <f t="shared" si="40"/>
        <v>N/A</v>
      </c>
      <c r="I100" s="309">
        <f>VLOOKUP(B100,'9+3 Spend LE'!E:H,4,FALSE)</f>
        <v>16192988.889999997</v>
      </c>
      <c r="J100" s="217">
        <f t="shared" si="41"/>
        <v>10525442.778499998</v>
      </c>
      <c r="K100" s="217">
        <f t="shared" si="42"/>
        <v>5667546.1114999987</v>
      </c>
      <c r="L100" s="295">
        <f>VLOOKUP(B100,'9+3 Spend LE'!E:H,2,FALSE)</f>
        <v>22394227</v>
      </c>
      <c r="M100" s="295">
        <f>VLOOKUP(B100,'9+3 Spend LE'!E:H,3,FALSE)</f>
        <v>22735591.999999996</v>
      </c>
      <c r="N100" s="89">
        <f t="shared" si="43"/>
        <v>0.71223080049993859</v>
      </c>
      <c r="O100" s="245"/>
      <c r="P100" s="163"/>
      <c r="Q100" s="66"/>
      <c r="R100" s="66"/>
      <c r="S100" s="66"/>
      <c r="T100" s="66"/>
      <c r="U100" s="66"/>
      <c r="V100" s="66"/>
      <c r="W100" s="66"/>
      <c r="X100" s="66"/>
      <c r="Y100" s="66"/>
      <c r="Z100" s="66"/>
      <c r="AA100" s="66"/>
    </row>
    <row r="101" spans="1:27" ht="15" x14ac:dyDescent="0.25">
      <c r="A101" s="392" t="s">
        <v>168</v>
      </c>
      <c r="B101" s="285" t="s">
        <v>169</v>
      </c>
      <c r="C101" s="1" t="s">
        <v>169</v>
      </c>
      <c r="D101" s="297">
        <f>IFERROR(VLOOKUP(A101,'9+3 Savings LE'!D:F,3,FALSE),"N/A")</f>
        <v>209460.7</v>
      </c>
      <c r="E101" s="208">
        <f>30890+215998.19+8497.99</f>
        <v>255386.18</v>
      </c>
      <c r="F101" s="209">
        <f t="shared" si="39"/>
        <v>255386.18</v>
      </c>
      <c r="G101" s="299">
        <f>VLOOKUP(A101,'9+3 Savings LE'!D:E,2,FALSE)</f>
        <v>260027.43000000002</v>
      </c>
      <c r="H101" s="89">
        <f t="shared" si="40"/>
        <v>0.80553309318174626</v>
      </c>
      <c r="I101" s="309">
        <f>VLOOKUP(B101,'9+3 Spend LE'!E:H,4,FALSE)</f>
        <v>12060626.099999998</v>
      </c>
      <c r="J101" s="217">
        <f t="shared" si="41"/>
        <v>7839406.9649999989</v>
      </c>
      <c r="K101" s="217">
        <f t="shared" si="42"/>
        <v>4221219.1349999988</v>
      </c>
      <c r="L101" s="295">
        <f>VLOOKUP(B101,'9+3 Spend LE'!E:H,2,FALSE)</f>
        <v>15003482.27</v>
      </c>
      <c r="M101" s="295">
        <f>VLOOKUP(B101,'9+3 Spend LE'!E:H,3,FALSE)</f>
        <v>15258070.869999999</v>
      </c>
      <c r="N101" s="89">
        <f t="shared" si="43"/>
        <v>0.79044239620837453</v>
      </c>
      <c r="O101" s="245"/>
      <c r="P101" s="163"/>
      <c r="Q101" s="66"/>
      <c r="R101" s="66"/>
      <c r="S101" s="66"/>
      <c r="T101" s="66"/>
      <c r="U101" s="66"/>
      <c r="V101" s="66"/>
      <c r="W101" s="66"/>
      <c r="X101" s="66"/>
      <c r="Y101" s="66"/>
      <c r="Z101" s="66"/>
      <c r="AA101" s="66"/>
    </row>
    <row r="102" spans="1:27" ht="15" x14ac:dyDescent="0.25">
      <c r="A102" s="285" t="s">
        <v>170</v>
      </c>
      <c r="B102" s="285" t="s">
        <v>171</v>
      </c>
      <c r="C102" s="1" t="s">
        <v>171</v>
      </c>
      <c r="D102" s="297">
        <f>IFERROR(VLOOKUP(A102,'9+3 Savings LE'!D:F,3,FALSE),"N/A")</f>
        <v>1881.3700000000001</v>
      </c>
      <c r="E102" s="208">
        <v>2895</v>
      </c>
      <c r="F102" s="209">
        <f t="shared" si="39"/>
        <v>2895</v>
      </c>
      <c r="G102" s="299">
        <f>VLOOKUP(A102,'9+3 Savings LE'!D:E,2,FALSE)</f>
        <v>3361.1600000000008</v>
      </c>
      <c r="H102" s="89">
        <f t="shared" si="40"/>
        <v>0.55973830463292429</v>
      </c>
      <c r="I102" s="309">
        <f>VLOOKUP(B102,'9+3 Spend LE'!E:H,4,FALSE)</f>
        <v>1492210.21</v>
      </c>
      <c r="J102" s="217">
        <f t="shared" si="41"/>
        <v>969936.63650000002</v>
      </c>
      <c r="K102" s="217">
        <f t="shared" si="42"/>
        <v>522273.57349999994</v>
      </c>
      <c r="L102" s="295">
        <f>VLOOKUP(B102,'9+3 Spend LE'!E:H,2,FALSE)</f>
        <v>1737537</v>
      </c>
      <c r="M102" s="295">
        <f>VLOOKUP(B102,'9+3 Spend LE'!E:H,3,FALSE)</f>
        <v>2211908.41</v>
      </c>
      <c r="N102" s="89">
        <f t="shared" si="43"/>
        <v>0.67462567765181558</v>
      </c>
      <c r="O102" s="245"/>
      <c r="P102" s="163"/>
      <c r="Q102" s="66"/>
      <c r="R102" s="66"/>
      <c r="S102" s="66"/>
      <c r="T102" s="66"/>
      <c r="U102" s="66"/>
      <c r="V102" s="66"/>
      <c r="W102" s="66"/>
      <c r="X102" s="66"/>
      <c r="Y102" s="66"/>
      <c r="Z102" s="66"/>
      <c r="AA102" s="66"/>
    </row>
    <row r="103" spans="1:27" ht="27" x14ac:dyDescent="0.25">
      <c r="A103" s="418" t="s">
        <v>172</v>
      </c>
      <c r="B103" s="392" t="s">
        <v>173</v>
      </c>
      <c r="C103" s="1" t="s">
        <v>174</v>
      </c>
      <c r="D103" s="297">
        <f>IFERROR(VLOOKUP(A103,'9+3 Savings LE'!D:F,3,FALSE),"N/A")</f>
        <v>2944.1039600000004</v>
      </c>
      <c r="E103" s="297">
        <v>8545.1999699999997</v>
      </c>
      <c r="F103" s="209">
        <f t="shared" si="39"/>
        <v>8545.1999699999997</v>
      </c>
      <c r="G103" s="299">
        <f>VLOOKUP(A103,'9+3 Savings LE'!D:E,2,FALSE)</f>
        <v>5683.0253799999991</v>
      </c>
      <c r="H103" s="89">
        <f t="shared" si="40"/>
        <v>0.51805222801943585</v>
      </c>
      <c r="I103" s="309">
        <f>VLOOKUP(B103,'9+3 Spend LE'!E:H,4,FALSE)</f>
        <v>5188945.0699999994</v>
      </c>
      <c r="J103" s="217">
        <f t="shared" si="41"/>
        <v>3372814.2954999995</v>
      </c>
      <c r="K103" s="217">
        <f t="shared" si="42"/>
        <v>1816130.7744999998</v>
      </c>
      <c r="L103" s="295">
        <f>VLOOKUP(B103,'9+3 Spend LE'!E:H,2,FALSE)</f>
        <v>9483013</v>
      </c>
      <c r="M103" s="295">
        <f>VLOOKUP(B103,'9+3 Spend LE'!E:H,3,FALSE)</f>
        <v>9096146.9645055421</v>
      </c>
      <c r="N103" s="89">
        <f t="shared" si="43"/>
        <v>0.5704552807081944</v>
      </c>
      <c r="O103" s="245"/>
      <c r="P103" s="163"/>
      <c r="Q103" s="66"/>
      <c r="R103" s="66"/>
      <c r="S103" s="66"/>
      <c r="T103" s="66"/>
      <c r="U103" s="66"/>
      <c r="V103" s="66"/>
      <c r="W103" s="66"/>
      <c r="X103" s="66"/>
      <c r="Y103" s="66"/>
      <c r="Z103" s="66"/>
      <c r="AA103" s="66"/>
    </row>
    <row r="104" spans="1:27" ht="27" x14ac:dyDescent="0.25">
      <c r="A104" s="415" t="s">
        <v>175</v>
      </c>
      <c r="B104" s="300" t="s">
        <v>176</v>
      </c>
      <c r="C104" s="1" t="s">
        <v>177</v>
      </c>
      <c r="D104" s="297">
        <f>IFERROR(VLOOKUP(A104,'9+3 Savings LE'!D:F,3,FALSE),"N/A")</f>
        <v>0</v>
      </c>
      <c r="E104" s="208">
        <v>5010</v>
      </c>
      <c r="F104" s="209">
        <f t="shared" si="39"/>
        <v>5010</v>
      </c>
      <c r="G104" s="299">
        <f>VLOOKUP(A104,'9+3 Savings LE'!D:E,2,FALSE)</f>
        <v>0</v>
      </c>
      <c r="H104" s="89" t="str">
        <f t="shared" si="40"/>
        <v>N/A</v>
      </c>
      <c r="I104" s="309">
        <f>VLOOKUP(B104,'9+3 Spend LE'!E:H,4,FALSE)</f>
        <v>1087851.6000000001</v>
      </c>
      <c r="J104" s="217">
        <f t="shared" si="41"/>
        <v>707103.54</v>
      </c>
      <c r="K104" s="217">
        <f t="shared" si="42"/>
        <v>380748.06000000006</v>
      </c>
      <c r="L104" s="295">
        <f>VLOOKUP(B104,'9+3 Spend LE'!E:H,2,FALSE)</f>
        <v>2718558</v>
      </c>
      <c r="M104" s="295">
        <f>VLOOKUP(B104,'9+3 Spend LE'!E:H,3,FALSE)</f>
        <v>2406926.4900000002</v>
      </c>
      <c r="N104" s="89">
        <f t="shared" si="43"/>
        <v>0.45196710598336554</v>
      </c>
      <c r="O104" s="245"/>
      <c r="P104" s="163"/>
      <c r="Q104" s="66"/>
      <c r="R104" s="66"/>
      <c r="S104" s="66"/>
      <c r="T104" s="66"/>
      <c r="U104" s="66"/>
      <c r="V104" s="66"/>
      <c r="W104" s="66"/>
      <c r="X104" s="66"/>
      <c r="Y104" s="66"/>
      <c r="Z104" s="66"/>
      <c r="AA104" s="66"/>
    </row>
    <row r="105" spans="1:27" ht="15" x14ac:dyDescent="0.25">
      <c r="A105" s="419"/>
      <c r="B105" s="288" t="s">
        <v>178</v>
      </c>
      <c r="C105" s="1" t="s">
        <v>179</v>
      </c>
      <c r="D105" s="297" t="str">
        <f>IFERROR(VLOOKUP(A105,'9+3 Savings LE'!D:F,3,FALSE),"N/A")</f>
        <v>N/A</v>
      </c>
      <c r="E105" s="297" t="s">
        <v>38</v>
      </c>
      <c r="F105" s="209" t="str">
        <f t="shared" si="39"/>
        <v>N/A</v>
      </c>
      <c r="G105" s="299" t="s">
        <v>38</v>
      </c>
      <c r="H105" s="89" t="str">
        <f t="shared" si="40"/>
        <v>N/A</v>
      </c>
      <c r="I105" s="309">
        <f>VLOOKUP(B105,'9+3 Spend LE'!E:H,4,FALSE)</f>
        <v>219711.10222899998</v>
      </c>
      <c r="J105" s="217">
        <f t="shared" si="41"/>
        <v>142812.21644885</v>
      </c>
      <c r="K105" s="217">
        <f t="shared" si="42"/>
        <v>76898.885780149983</v>
      </c>
      <c r="L105" s="295">
        <f>VLOOKUP(B105,'9+3 Spend LE'!E:H,2,FALSE)</f>
        <v>1441259</v>
      </c>
      <c r="M105" s="295">
        <f>VLOOKUP(B105,'9+3 Spend LE'!E:H,3,FALSE)</f>
        <v>1395923.232229</v>
      </c>
      <c r="N105" s="89">
        <f t="shared" si="43"/>
        <v>0.15739483171876645</v>
      </c>
      <c r="O105" s="245"/>
      <c r="P105" s="163"/>
      <c r="Q105" s="66"/>
      <c r="R105" s="66"/>
      <c r="S105" s="66"/>
      <c r="T105" s="66"/>
      <c r="U105" s="66"/>
      <c r="V105" s="66"/>
      <c r="W105" s="66"/>
      <c r="X105" s="66"/>
      <c r="Y105" s="66"/>
      <c r="Z105" s="66"/>
      <c r="AA105" s="66"/>
    </row>
    <row r="106" spans="1:27" ht="20.100000000000001" customHeight="1" x14ac:dyDescent="0.25">
      <c r="A106" s="420"/>
      <c r="B106" s="373"/>
      <c r="C106" s="287" t="s">
        <v>180</v>
      </c>
      <c r="D106" s="210">
        <f>SUM(D96:D105)</f>
        <v>245695.17396000001</v>
      </c>
      <c r="E106" s="211">
        <f>SUM(E96:E105)</f>
        <v>448082.58999319997</v>
      </c>
      <c r="F106" s="211">
        <f>SUM(F96:F105)</f>
        <v>448082.58999319997</v>
      </c>
      <c r="G106" s="211">
        <f>SUM(G96:G105)</f>
        <v>311435.61538000003</v>
      </c>
      <c r="H106" s="91">
        <f t="shared" si="40"/>
        <v>0.7889116139148491</v>
      </c>
      <c r="I106" s="308">
        <f>SUM(I96:I105)</f>
        <v>80381635.462228969</v>
      </c>
      <c r="J106" s="218">
        <f>SUM(J96:J105)</f>
        <v>52248063.05044885</v>
      </c>
      <c r="K106" s="218">
        <f>SUM(K96:K105)</f>
        <v>28133572.411780141</v>
      </c>
      <c r="L106" s="218">
        <f>SUM(L96:L105)</f>
        <v>115745071.87862001</v>
      </c>
      <c r="M106" s="218">
        <f>SUM(M96:M105)</f>
        <v>118400686.02970475</v>
      </c>
      <c r="N106" s="189">
        <f>I106/M106</f>
        <v>0.67889501452772461</v>
      </c>
      <c r="O106" s="245"/>
      <c r="P106" s="166"/>
      <c r="Q106" s="66"/>
      <c r="R106" s="66"/>
      <c r="S106" s="66"/>
      <c r="T106" s="66"/>
      <c r="U106" s="66"/>
      <c r="V106" s="66"/>
      <c r="W106" s="66"/>
      <c r="X106" s="66"/>
      <c r="Y106" s="66"/>
      <c r="Z106" s="66"/>
      <c r="AA106" s="66"/>
    </row>
    <row r="107" spans="1:27" ht="20.100000000000001" customHeight="1" x14ac:dyDescent="0.25">
      <c r="A107" s="420"/>
      <c r="B107" s="379"/>
      <c r="C107" s="17" t="s">
        <v>181</v>
      </c>
      <c r="D107" s="212"/>
      <c r="E107" s="212"/>
      <c r="F107" s="212"/>
      <c r="G107" s="212"/>
      <c r="H107" s="212"/>
      <c r="I107" s="212"/>
      <c r="J107" s="17"/>
      <c r="K107" s="17"/>
      <c r="L107" s="17"/>
      <c r="M107" s="17"/>
      <c r="N107" s="223"/>
      <c r="O107" s="245"/>
      <c r="P107" s="66"/>
      <c r="Q107" s="66"/>
      <c r="R107" s="66"/>
      <c r="S107" s="66"/>
      <c r="T107" s="66"/>
      <c r="U107" s="66"/>
      <c r="V107" s="66"/>
      <c r="W107" s="66"/>
      <c r="X107" s="66"/>
      <c r="Y107" s="66"/>
      <c r="Z107" s="66"/>
      <c r="AA107" s="66"/>
    </row>
    <row r="108" spans="1:27" ht="15" x14ac:dyDescent="0.25">
      <c r="A108" s="421" t="s">
        <v>182</v>
      </c>
      <c r="B108" s="289" t="s">
        <v>183</v>
      </c>
      <c r="C108" s="65" t="s">
        <v>184</v>
      </c>
      <c r="D108" s="297">
        <f>IFERROR(VLOOKUP(A108,'9+3 Savings LE'!D:F,3,FALSE),"N/A")</f>
        <v>0</v>
      </c>
      <c r="E108" s="253">
        <f>3500+1500</f>
        <v>5000</v>
      </c>
      <c r="F108" s="213">
        <f>E108</f>
        <v>5000</v>
      </c>
      <c r="G108" s="299">
        <f>VLOOKUP(A108,'9+3 Savings LE'!D:E,2,FALSE)</f>
        <v>0</v>
      </c>
      <c r="H108" s="89" t="str">
        <f t="shared" ref="H108:H114" si="44">IF(AND(ISNUMBER(G108)=TRUE,G108&lt;&gt;0),D108/G108,"N/A")</f>
        <v>N/A</v>
      </c>
      <c r="I108" s="309">
        <f>VLOOKUP(B108,'9+3 Spend LE'!E:H,4,FALSE)</f>
        <v>4340353.66</v>
      </c>
      <c r="J108" s="219">
        <v>0</v>
      </c>
      <c r="K108" s="217">
        <f>I108-J108</f>
        <v>4340353.66</v>
      </c>
      <c r="L108" s="295">
        <f>VLOOKUP(B108,'9+3 Spend LE'!E:H,2,FALSE)</f>
        <v>10316736.359999999</v>
      </c>
      <c r="M108" s="295">
        <f>VLOOKUP(B108,'9+3 Spend LE'!E:H,3,FALSE)</f>
        <v>7652565.6299999999</v>
      </c>
      <c r="N108" s="89">
        <f>I108/M108</f>
        <v>0.5671762739263172</v>
      </c>
      <c r="O108" s="245"/>
      <c r="P108" s="66"/>
      <c r="Q108" s="66"/>
      <c r="R108" s="66"/>
      <c r="S108" s="66"/>
      <c r="T108" s="66"/>
      <c r="U108" s="66"/>
      <c r="V108" s="66"/>
      <c r="W108" s="66"/>
      <c r="X108" s="66"/>
      <c r="Y108" s="66"/>
      <c r="Z108" s="66"/>
      <c r="AA108" s="66"/>
    </row>
    <row r="109" spans="1:27" ht="15" x14ac:dyDescent="0.25">
      <c r="A109" s="415" t="s">
        <v>185</v>
      </c>
      <c r="B109" s="384"/>
      <c r="C109" s="65" t="s">
        <v>186</v>
      </c>
      <c r="D109" s="297">
        <f>IFERROR(VLOOKUP(A109,'9+3 Savings LE'!D:F,3,FALSE),"N/A")</f>
        <v>59112</v>
      </c>
      <c r="E109" s="253">
        <v>119063</v>
      </c>
      <c r="F109" s="213">
        <f>E109</f>
        <v>119063</v>
      </c>
      <c r="G109" s="299">
        <f>VLOOKUP(A109,'9+3 Savings LE'!D:E,2,FALSE)</f>
        <v>119063</v>
      </c>
      <c r="H109" s="89">
        <f t="shared" si="44"/>
        <v>0.49647665521614609</v>
      </c>
      <c r="I109" s="296" t="s">
        <v>38</v>
      </c>
      <c r="J109" s="90" t="s">
        <v>38</v>
      </c>
      <c r="K109" s="90" t="s">
        <v>38</v>
      </c>
      <c r="L109" s="296" t="s">
        <v>38</v>
      </c>
      <c r="M109" s="296" t="s">
        <v>38</v>
      </c>
      <c r="N109" s="188" t="s">
        <v>38</v>
      </c>
      <c r="O109" s="245"/>
      <c r="P109" s="66"/>
      <c r="Q109" s="66"/>
      <c r="R109" s="66"/>
      <c r="S109" s="66"/>
      <c r="T109" s="66"/>
      <c r="U109" s="66"/>
      <c r="V109" s="66"/>
      <c r="W109" s="66"/>
      <c r="X109" s="66"/>
      <c r="Y109" s="66"/>
      <c r="Z109" s="66"/>
      <c r="AA109" s="66"/>
    </row>
    <row r="110" spans="1:27" ht="15" x14ac:dyDescent="0.25">
      <c r="A110" s="416"/>
      <c r="B110" s="285" t="s">
        <v>187</v>
      </c>
      <c r="C110" s="65" t="s">
        <v>188</v>
      </c>
      <c r="D110" s="297" t="str">
        <f>IFERROR(VLOOKUP(A110,'9+3 Savings LE'!D:F,3,FALSE),"N/A")</f>
        <v>N/A</v>
      </c>
      <c r="E110" s="298" t="s">
        <v>38</v>
      </c>
      <c r="F110" s="90" t="s">
        <v>38</v>
      </c>
      <c r="G110" s="298" t="s">
        <v>38</v>
      </c>
      <c r="H110" s="90" t="str">
        <f t="shared" si="44"/>
        <v>N/A</v>
      </c>
      <c r="I110" s="309">
        <f>VLOOKUP(B110,'9+3 Spend LE'!E:H,4,FALSE)</f>
        <v>2688.94</v>
      </c>
      <c r="J110" s="219">
        <v>0</v>
      </c>
      <c r="K110" s="219">
        <v>0</v>
      </c>
      <c r="L110" s="295">
        <f>VLOOKUP(B110,'9+3 Spend LE'!E:H,2,FALSE)</f>
        <v>102689</v>
      </c>
      <c r="M110" s="295">
        <f>VLOOKUP(B110,'9+3 Spend LE'!E:H,3,FALSE)</f>
        <v>17689</v>
      </c>
      <c r="N110" s="89">
        <f>I110/M110</f>
        <v>0.15201198484934139</v>
      </c>
      <c r="O110" s="245"/>
      <c r="P110" s="66"/>
      <c r="Q110" s="66"/>
      <c r="R110" s="66"/>
      <c r="S110" s="66"/>
      <c r="T110" s="66"/>
      <c r="U110" s="66"/>
      <c r="V110" s="66"/>
      <c r="W110" s="66"/>
      <c r="X110" s="66"/>
      <c r="Y110" s="66"/>
      <c r="Z110" s="66"/>
      <c r="AA110" s="66"/>
    </row>
    <row r="111" spans="1:27" ht="25.5" x14ac:dyDescent="0.25">
      <c r="A111" s="422"/>
      <c r="B111" s="373"/>
      <c r="C111" s="35" t="s">
        <v>189</v>
      </c>
      <c r="D111" s="211">
        <f>SUM(D108:D110)</f>
        <v>59112</v>
      </c>
      <c r="E111" s="211">
        <f>SUM(E108:E110)</f>
        <v>124063</v>
      </c>
      <c r="F111" s="211">
        <f>SUM(F108:F110)</f>
        <v>124063</v>
      </c>
      <c r="G111" s="211">
        <f>SUM(G108:G110)</f>
        <v>119063</v>
      </c>
      <c r="H111" s="91">
        <f t="shared" si="44"/>
        <v>0.49647665521614609</v>
      </c>
      <c r="I111" s="225">
        <f>SUM(I108:I110)</f>
        <v>4343042.6000000006</v>
      </c>
      <c r="J111" s="225">
        <f>SUM(J108:J110)</f>
        <v>0</v>
      </c>
      <c r="K111" s="225">
        <f>SUM(K108:K110)</f>
        <v>4340353.66</v>
      </c>
      <c r="L111" s="225">
        <f>SUM(L108:L110)</f>
        <v>10419425.359999999</v>
      </c>
      <c r="M111" s="225">
        <f>SUM(M108:M110)</f>
        <v>7670254.6299999999</v>
      </c>
      <c r="N111" s="189">
        <f>I111/M111</f>
        <v>0.56621882968701398</v>
      </c>
      <c r="O111" s="245"/>
      <c r="P111" s="66"/>
      <c r="Q111" s="66"/>
      <c r="R111" s="66"/>
      <c r="S111" s="66"/>
      <c r="T111" s="66"/>
      <c r="U111" s="66"/>
      <c r="V111" s="66"/>
      <c r="W111" s="66"/>
      <c r="X111" s="66"/>
      <c r="Y111" s="66"/>
      <c r="Z111" s="66"/>
      <c r="AA111" s="66"/>
    </row>
    <row r="112" spans="1:27" ht="20.100000000000001" customHeight="1" x14ac:dyDescent="0.25">
      <c r="A112" s="423"/>
      <c r="B112" s="375"/>
      <c r="C112" s="35" t="s">
        <v>190</v>
      </c>
      <c r="D112" s="211">
        <v>183472</v>
      </c>
      <c r="E112" s="211">
        <v>183472</v>
      </c>
      <c r="F112" s="211">
        <f>E112</f>
        <v>183472</v>
      </c>
      <c r="G112" s="211">
        <v>183472</v>
      </c>
      <c r="H112" s="91">
        <f t="shared" si="44"/>
        <v>1</v>
      </c>
      <c r="I112" s="225" t="s">
        <v>38</v>
      </c>
      <c r="J112" s="225" t="s">
        <v>38</v>
      </c>
      <c r="K112" s="225" t="s">
        <v>38</v>
      </c>
      <c r="L112" s="225" t="s">
        <v>38</v>
      </c>
      <c r="M112" s="225" t="s">
        <v>38</v>
      </c>
      <c r="N112" s="189" t="s">
        <v>38</v>
      </c>
      <c r="O112" s="245"/>
      <c r="P112" s="66"/>
      <c r="Q112" s="66"/>
      <c r="R112" s="66"/>
      <c r="S112" s="66"/>
      <c r="T112" s="66"/>
      <c r="U112" s="66"/>
      <c r="V112" s="66"/>
      <c r="W112" s="66"/>
      <c r="X112" s="66"/>
      <c r="Y112" s="66"/>
      <c r="Z112" s="66"/>
      <c r="AA112" s="66"/>
    </row>
    <row r="113" spans="1:27" ht="28.35" customHeight="1" x14ac:dyDescent="0.25">
      <c r="A113" s="424" t="s">
        <v>191</v>
      </c>
      <c r="B113" s="375"/>
      <c r="C113" s="35" t="s">
        <v>192</v>
      </c>
      <c r="D113" s="211">
        <f>IFERROR(VLOOKUP(A113,'9+3 Savings LE'!D:F,3,FALSE),"N/A")</f>
        <v>0</v>
      </c>
      <c r="E113" s="211">
        <v>1035</v>
      </c>
      <c r="F113" s="211">
        <f>E113</f>
        <v>1035</v>
      </c>
      <c r="G113" s="211">
        <f>VLOOKUP(A113,'9+3 Savings LE'!D:E,2,FALSE)</f>
        <v>1035</v>
      </c>
      <c r="H113" s="91">
        <f t="shared" si="44"/>
        <v>0</v>
      </c>
      <c r="I113" s="225" t="s">
        <v>38</v>
      </c>
      <c r="J113" s="225" t="s">
        <v>38</v>
      </c>
      <c r="K113" s="225" t="s">
        <v>38</v>
      </c>
      <c r="L113" s="225" t="s">
        <v>38</v>
      </c>
      <c r="M113" s="225" t="s">
        <v>38</v>
      </c>
      <c r="N113" s="189" t="s">
        <v>38</v>
      </c>
      <c r="O113" s="245"/>
      <c r="P113" s="66"/>
      <c r="Q113" s="66"/>
      <c r="R113" s="66"/>
      <c r="S113" s="66"/>
      <c r="T113" s="66"/>
      <c r="U113" s="66"/>
      <c r="V113" s="66"/>
      <c r="W113" s="66"/>
      <c r="X113" s="66"/>
      <c r="Y113" s="66"/>
      <c r="Z113" s="66"/>
      <c r="AA113" s="66"/>
    </row>
    <row r="114" spans="1:27" ht="20.100000000000001" customHeight="1" x14ac:dyDescent="0.25">
      <c r="A114" s="415" t="s">
        <v>193</v>
      </c>
      <c r="B114" s="379"/>
      <c r="C114" s="35" t="s">
        <v>194</v>
      </c>
      <c r="D114" s="211">
        <f>IFERROR(VLOOKUP(A114,'9+3 Savings LE'!D:F,3,FALSE),"N/A")</f>
        <v>25705</v>
      </c>
      <c r="E114" s="211">
        <v>37770</v>
      </c>
      <c r="F114" s="211">
        <f>E114</f>
        <v>37770</v>
      </c>
      <c r="G114" s="211">
        <f>VLOOKUP(A114,'9+3 Savings LE'!D:E,2,FALSE)</f>
        <v>41128</v>
      </c>
      <c r="H114" s="91">
        <f t="shared" si="44"/>
        <v>0.625</v>
      </c>
      <c r="I114" s="225" t="s">
        <v>38</v>
      </c>
      <c r="J114" s="225" t="s">
        <v>38</v>
      </c>
      <c r="K114" s="225" t="s">
        <v>38</v>
      </c>
      <c r="L114" s="225" t="s">
        <v>38</v>
      </c>
      <c r="M114" s="225" t="s">
        <v>38</v>
      </c>
      <c r="N114" s="189" t="s">
        <v>38</v>
      </c>
      <c r="O114" s="245"/>
      <c r="P114" s="113"/>
      <c r="Q114" s="66"/>
      <c r="R114" s="66"/>
      <c r="S114" s="66"/>
      <c r="T114" s="66"/>
      <c r="U114" s="66"/>
      <c r="V114" s="66"/>
      <c r="W114" s="66"/>
      <c r="X114" s="66"/>
      <c r="Y114" s="66"/>
      <c r="Z114" s="66"/>
      <c r="AA114" s="66"/>
    </row>
    <row r="115" spans="1:27" s="187" customFormat="1" ht="25.35" customHeight="1" x14ac:dyDescent="0.25">
      <c r="A115" s="385"/>
      <c r="B115" s="184"/>
      <c r="C115" s="185" t="s">
        <v>195</v>
      </c>
      <c r="D115" s="224">
        <f>SUM(D111:D114,D81,D37)</f>
        <v>1147913.4539600001</v>
      </c>
      <c r="E115" s="224">
        <f t="shared" ref="E115:G115" si="45">SUM(E111:E114,E81,E37)</f>
        <v>1777872.2980352</v>
      </c>
      <c r="F115" s="224">
        <f t="shared" si="45"/>
        <v>1777872.2980352</v>
      </c>
      <c r="G115" s="224">
        <f t="shared" si="45"/>
        <v>1637823.98538</v>
      </c>
      <c r="H115" s="183">
        <f>IF(AND(ISNUMBER(G115)=TRUE,G115&lt;&gt;0),D115/G115,"N/A")</f>
        <v>0.70087717862653398</v>
      </c>
      <c r="I115" s="226">
        <f>SUM(I37,I81,I111)</f>
        <v>232558882.61222893</v>
      </c>
      <c r="J115" s="226">
        <f>SUM(J37,J94,J106,J111,J114,J112)</f>
        <v>140975285.07544884</v>
      </c>
      <c r="K115" s="226">
        <f>SUM(K37,K94,K106,K111,K114,K112)</f>
        <v>91580908.596780136</v>
      </c>
      <c r="L115" s="226">
        <f>SUM(L37,L94,L106,L111,L114,L112)</f>
        <v>397289271.85998243</v>
      </c>
      <c r="M115" s="226">
        <f>SUM(M37,M94,M106,M111,M114,M112)</f>
        <v>385730654.49383926</v>
      </c>
      <c r="N115" s="183">
        <f>I115/M115</f>
        <v>0.60290485058128374</v>
      </c>
      <c r="O115" s="246"/>
      <c r="P115" s="186"/>
      <c r="Q115" s="184"/>
      <c r="R115" s="184"/>
      <c r="S115" s="184"/>
      <c r="T115" s="184"/>
      <c r="U115" s="184"/>
      <c r="V115" s="184"/>
      <c r="W115" s="184"/>
      <c r="X115" s="184"/>
      <c r="Y115" s="184"/>
      <c r="Z115" s="184"/>
      <c r="AA115" s="184"/>
    </row>
    <row r="116" spans="1:27" ht="22.5" customHeight="1" x14ac:dyDescent="0.25">
      <c r="A116" s="385"/>
      <c r="B116" s="390"/>
      <c r="C116" s="148"/>
      <c r="D116" s="149"/>
      <c r="E116" s="195" t="s">
        <v>196</v>
      </c>
      <c r="F116" s="150"/>
      <c r="G116" s="195" t="s">
        <v>196</v>
      </c>
      <c r="H116" s="151"/>
      <c r="I116" s="311"/>
      <c r="J116" s="153"/>
      <c r="K116" s="153"/>
      <c r="L116" s="152"/>
      <c r="M116" s="152"/>
      <c r="N116" s="154"/>
      <c r="O116" s="244"/>
      <c r="P116" s="155"/>
      <c r="Q116" s="66"/>
      <c r="R116" s="66"/>
      <c r="S116" s="66"/>
      <c r="T116" s="66"/>
      <c r="U116" s="66"/>
      <c r="V116" s="66"/>
      <c r="W116" s="66"/>
      <c r="X116" s="66"/>
      <c r="Y116" s="66"/>
      <c r="Z116" s="66"/>
      <c r="AA116" s="66"/>
    </row>
    <row r="117" spans="1:27" ht="22.5" customHeight="1" x14ac:dyDescent="0.25">
      <c r="A117" s="385"/>
      <c r="B117" s="390"/>
      <c r="C117" s="433" t="s">
        <v>644</v>
      </c>
      <c r="D117" s="414">
        <v>1363963.6698318999</v>
      </c>
      <c r="E117" s="169">
        <v>1777872.2980352</v>
      </c>
      <c r="F117" s="150">
        <v>1777872.2980352</v>
      </c>
      <c r="G117" s="425">
        <v>1930924.3951638998</v>
      </c>
      <c r="H117" s="156"/>
      <c r="I117" s="312"/>
      <c r="J117" s="153"/>
      <c r="K117" s="153"/>
      <c r="L117" s="153"/>
      <c r="M117" s="153"/>
      <c r="N117" s="154"/>
      <c r="O117" s="244"/>
      <c r="P117" s="157"/>
      <c r="Q117" s="66"/>
      <c r="R117" s="66"/>
      <c r="S117" s="66"/>
      <c r="T117" s="66"/>
      <c r="U117" s="66"/>
      <c r="V117" s="66"/>
      <c r="W117" s="66"/>
      <c r="X117" s="66"/>
      <c r="Y117" s="66"/>
      <c r="Z117" s="66"/>
      <c r="AA117" s="66"/>
    </row>
    <row r="118" spans="1:27" ht="22.5" customHeight="1" x14ac:dyDescent="0.25">
      <c r="A118" s="390"/>
      <c r="B118" s="390"/>
      <c r="C118" s="149" t="s">
        <v>197</v>
      </c>
      <c r="D118" s="149"/>
      <c r="E118" s="194"/>
      <c r="F118" s="194"/>
      <c r="G118" s="66"/>
      <c r="H118" s="158"/>
      <c r="I118" s="105"/>
      <c r="J118" s="66"/>
      <c r="K118" s="66"/>
      <c r="L118" s="66"/>
      <c r="M118" s="105"/>
      <c r="N118" s="66"/>
      <c r="O118" s="244"/>
      <c r="P118" s="66"/>
      <c r="Q118" s="66"/>
      <c r="R118" s="66"/>
      <c r="S118" s="66"/>
      <c r="T118" s="66"/>
      <c r="U118" s="66"/>
      <c r="V118" s="66"/>
      <c r="W118" s="66"/>
      <c r="X118" s="66"/>
      <c r="Y118" s="66"/>
      <c r="Z118" s="66"/>
      <c r="AA118" s="66"/>
    </row>
    <row r="119" spans="1:27" ht="27.6" customHeight="1" x14ac:dyDescent="0.25">
      <c r="A119" s="390"/>
      <c r="B119" s="390"/>
      <c r="C119" s="510" t="s">
        <v>198</v>
      </c>
      <c r="D119" s="510"/>
      <c r="E119" s="510"/>
      <c r="F119" s="510"/>
      <c r="G119" s="510"/>
      <c r="H119" s="510"/>
      <c r="I119" s="510"/>
      <c r="J119" s="510"/>
      <c r="K119" s="510"/>
      <c r="L119" s="510"/>
      <c r="M119" s="510"/>
      <c r="N119" s="510"/>
      <c r="O119" s="244"/>
      <c r="P119" s="66"/>
      <c r="Q119" s="66"/>
      <c r="R119" s="66"/>
      <c r="S119" s="66"/>
      <c r="T119" s="66"/>
      <c r="U119" s="66"/>
      <c r="V119" s="66"/>
      <c r="W119" s="66"/>
      <c r="X119" s="66"/>
      <c r="Y119" s="66"/>
      <c r="Z119" s="66"/>
      <c r="AA119" s="66"/>
    </row>
    <row r="120" spans="1:27" ht="30.75" customHeight="1" x14ac:dyDescent="0.25">
      <c r="A120" s="390"/>
      <c r="B120" s="390"/>
      <c r="C120" s="510" t="s">
        <v>199</v>
      </c>
      <c r="D120" s="510"/>
      <c r="E120" s="510"/>
      <c r="F120" s="510"/>
      <c r="G120" s="510"/>
      <c r="H120" s="510"/>
      <c r="I120" s="510"/>
      <c r="J120" s="510"/>
      <c r="K120" s="510"/>
      <c r="L120" s="510"/>
      <c r="M120" s="510"/>
      <c r="N120" s="510"/>
      <c r="O120" s="244"/>
      <c r="P120" s="66"/>
      <c r="Q120" s="66"/>
      <c r="R120" s="66"/>
      <c r="S120" s="66"/>
      <c r="T120" s="66"/>
      <c r="U120" s="66"/>
      <c r="V120" s="66"/>
      <c r="W120" s="66"/>
      <c r="X120" s="66"/>
      <c r="Y120" s="66"/>
      <c r="Z120" s="66"/>
      <c r="AA120" s="66"/>
    </row>
    <row r="121" spans="1:27" ht="34.5" customHeight="1" x14ac:dyDescent="0.25">
      <c r="A121" s="390"/>
      <c r="B121" s="390"/>
      <c r="C121" s="510" t="s">
        <v>200</v>
      </c>
      <c r="D121" s="510"/>
      <c r="E121" s="510"/>
      <c r="F121" s="510"/>
      <c r="G121" s="510"/>
      <c r="H121" s="510"/>
      <c r="I121" s="510"/>
      <c r="J121" s="510"/>
      <c r="K121" s="510"/>
      <c r="L121" s="510"/>
      <c r="M121" s="510"/>
      <c r="N121" s="510"/>
      <c r="O121" s="244"/>
      <c r="P121" s="66"/>
      <c r="Q121" s="66"/>
      <c r="R121" s="66"/>
      <c r="S121" s="66"/>
      <c r="T121" s="66"/>
      <c r="U121" s="66"/>
      <c r="V121" s="66"/>
      <c r="W121" s="66"/>
      <c r="X121" s="66"/>
      <c r="Y121" s="66"/>
      <c r="Z121" s="66"/>
      <c r="AA121" s="66"/>
    </row>
    <row r="122" spans="1:27" ht="22.5" customHeight="1" x14ac:dyDescent="0.25">
      <c r="A122" s="390"/>
      <c r="B122" s="390"/>
      <c r="C122" s="511" t="s">
        <v>201</v>
      </c>
      <c r="D122" s="512"/>
      <c r="E122" s="512"/>
      <c r="F122" s="512"/>
      <c r="G122" s="512"/>
      <c r="H122" s="512"/>
      <c r="I122" s="512"/>
      <c r="J122" s="512"/>
      <c r="K122" s="512"/>
      <c r="L122" s="512"/>
      <c r="M122" s="512"/>
      <c r="N122" s="513"/>
      <c r="O122" s="244"/>
      <c r="P122" s="66"/>
      <c r="Q122" s="66"/>
      <c r="R122" s="66"/>
      <c r="S122" s="66"/>
      <c r="T122" s="66"/>
      <c r="U122" s="66"/>
      <c r="V122" s="66"/>
      <c r="W122" s="66"/>
      <c r="X122" s="66"/>
      <c r="Y122" s="66"/>
      <c r="Z122" s="66"/>
      <c r="AA122" s="66"/>
    </row>
    <row r="123" spans="1:27" ht="22.5" customHeight="1" x14ac:dyDescent="0.25">
      <c r="A123" s="390"/>
      <c r="B123" s="390"/>
      <c r="C123" s="500" t="s">
        <v>202</v>
      </c>
      <c r="D123" s="501"/>
      <c r="E123" s="501"/>
      <c r="F123" s="501"/>
      <c r="G123" s="501"/>
      <c r="H123" s="501"/>
      <c r="I123" s="501"/>
      <c r="J123" s="501"/>
      <c r="K123" s="501"/>
      <c r="L123" s="501"/>
      <c r="M123" s="501"/>
      <c r="N123" s="502"/>
      <c r="O123" s="244"/>
      <c r="P123" s="66"/>
      <c r="Q123" s="66"/>
      <c r="R123" s="66"/>
      <c r="S123" s="66"/>
      <c r="T123" s="66"/>
      <c r="U123" s="66"/>
      <c r="V123" s="66"/>
      <c r="W123" s="66"/>
      <c r="X123" s="66"/>
      <c r="Y123" s="66"/>
      <c r="Z123" s="66"/>
      <c r="AA123" s="66"/>
    </row>
    <row r="124" spans="1:27" ht="45" customHeight="1" x14ac:dyDescent="0.25">
      <c r="A124" s="390"/>
      <c r="B124" s="390"/>
      <c r="C124" s="500" t="s">
        <v>203</v>
      </c>
      <c r="D124" s="501"/>
      <c r="E124" s="501"/>
      <c r="F124" s="501"/>
      <c r="G124" s="501"/>
      <c r="H124" s="501"/>
      <c r="I124" s="501"/>
      <c r="J124" s="501"/>
      <c r="K124" s="501"/>
      <c r="L124" s="501"/>
      <c r="M124" s="501"/>
      <c r="N124" s="502"/>
      <c r="O124" s="244"/>
      <c r="P124" s="66"/>
      <c r="Q124" s="66"/>
      <c r="R124" s="66"/>
      <c r="S124" s="66"/>
      <c r="T124" s="66"/>
      <c r="U124" s="66"/>
      <c r="V124" s="66"/>
      <c r="W124" s="66"/>
      <c r="X124" s="66"/>
      <c r="Y124" s="66"/>
      <c r="Z124" s="66"/>
      <c r="AA124" s="66"/>
    </row>
    <row r="125" spans="1:27" ht="43.5" customHeight="1" x14ac:dyDescent="0.25">
      <c r="A125" s="390"/>
      <c r="B125" s="390"/>
      <c r="C125" s="66"/>
      <c r="D125" s="66"/>
      <c r="E125" s="66"/>
      <c r="F125" s="66"/>
      <c r="G125" s="66"/>
      <c r="H125" s="105"/>
      <c r="I125" s="105"/>
      <c r="J125" s="66"/>
      <c r="K125" s="66"/>
      <c r="L125" s="66"/>
      <c r="M125" s="66"/>
      <c r="N125" s="66"/>
      <c r="O125" s="244"/>
      <c r="P125" s="66"/>
      <c r="Q125" s="66"/>
      <c r="R125" s="66"/>
      <c r="S125" s="66"/>
      <c r="T125" s="66"/>
      <c r="U125" s="66"/>
      <c r="V125" s="66"/>
      <c r="W125" s="66"/>
      <c r="X125" s="66"/>
      <c r="Y125" s="66"/>
      <c r="Z125" s="66"/>
      <c r="AA125" s="66"/>
    </row>
    <row r="126" spans="1:27" ht="22.5" customHeight="1" x14ac:dyDescent="0.25">
      <c r="A126" s="390"/>
      <c r="B126" s="390"/>
      <c r="C126" s="66"/>
      <c r="D126" s="66"/>
      <c r="E126" s="66"/>
      <c r="F126" s="66"/>
      <c r="G126" s="66"/>
      <c r="H126" s="105"/>
      <c r="I126" s="105"/>
      <c r="J126" s="66"/>
      <c r="K126" s="66"/>
      <c r="L126" s="66"/>
      <c r="M126" s="66"/>
      <c r="N126" s="66"/>
      <c r="O126" s="244"/>
      <c r="P126" s="66"/>
      <c r="Q126" s="66"/>
      <c r="R126" s="66"/>
      <c r="S126" s="66"/>
      <c r="T126" s="66"/>
      <c r="U126" s="66"/>
      <c r="V126" s="66"/>
      <c r="W126" s="66"/>
      <c r="X126" s="66"/>
      <c r="Y126" s="66"/>
      <c r="Z126" s="66"/>
      <c r="AA126" s="66"/>
    </row>
    <row r="127" spans="1:27" ht="22.5" customHeight="1" x14ac:dyDescent="0.25">
      <c r="A127" s="390"/>
      <c r="B127" s="390"/>
      <c r="C127" s="66"/>
      <c r="D127" s="66"/>
      <c r="E127" s="66"/>
      <c r="F127" s="66"/>
      <c r="G127" s="66"/>
      <c r="H127" s="105"/>
      <c r="I127" s="105"/>
      <c r="J127" s="66"/>
      <c r="K127" s="66"/>
      <c r="L127" s="66"/>
      <c r="M127" s="66"/>
      <c r="N127" s="66"/>
      <c r="O127" s="244"/>
      <c r="P127" s="66"/>
      <c r="Q127" s="66"/>
      <c r="R127" s="66"/>
      <c r="S127" s="66"/>
      <c r="T127" s="66"/>
      <c r="U127" s="66"/>
      <c r="V127" s="66"/>
      <c r="W127" s="66"/>
      <c r="X127" s="66"/>
      <c r="Y127" s="66"/>
      <c r="Z127" s="66"/>
      <c r="AA127" s="66"/>
    </row>
    <row r="128" spans="1:27" ht="22.5" customHeight="1" x14ac:dyDescent="0.25">
      <c r="A128" s="390"/>
      <c r="B128" s="390"/>
      <c r="C128" s="66"/>
      <c r="D128" s="66"/>
      <c r="E128" s="66"/>
      <c r="F128" s="66"/>
      <c r="G128" s="66"/>
      <c r="H128" s="105"/>
      <c r="I128" s="105"/>
      <c r="J128" s="66"/>
      <c r="K128" s="66"/>
      <c r="L128" s="66"/>
      <c r="M128" s="66"/>
      <c r="N128" s="66"/>
      <c r="O128" s="244"/>
      <c r="P128" s="66"/>
      <c r="Q128" s="66"/>
      <c r="R128" s="66"/>
      <c r="S128" s="66"/>
      <c r="T128" s="66"/>
      <c r="U128" s="66"/>
      <c r="V128" s="66"/>
      <c r="W128" s="66"/>
      <c r="X128" s="66"/>
      <c r="Y128" s="66"/>
      <c r="Z128" s="66"/>
      <c r="AA128" s="66"/>
    </row>
    <row r="129" spans="1:27" ht="22.5" customHeight="1" x14ac:dyDescent="0.25">
      <c r="A129" s="390"/>
      <c r="B129" s="390"/>
      <c r="C129" s="66"/>
      <c r="D129" s="66"/>
      <c r="E129" s="66"/>
      <c r="F129" s="66"/>
      <c r="G129" s="66"/>
      <c r="H129" s="105"/>
      <c r="I129" s="105"/>
      <c r="J129" s="66"/>
      <c r="K129" s="66"/>
      <c r="L129" s="66"/>
      <c r="M129" s="66"/>
      <c r="N129" s="66"/>
      <c r="O129" s="244"/>
      <c r="P129" s="66"/>
      <c r="Q129" s="66"/>
      <c r="R129" s="66"/>
      <c r="S129" s="66"/>
      <c r="T129" s="66"/>
      <c r="U129" s="66"/>
      <c r="V129" s="66"/>
      <c r="W129" s="66"/>
      <c r="X129" s="66"/>
      <c r="Y129" s="66"/>
      <c r="Z129" s="66"/>
      <c r="AA129" s="66"/>
    </row>
    <row r="130" spans="1:27" ht="22.5" customHeight="1" x14ac:dyDescent="0.25">
      <c r="A130" s="390"/>
      <c r="B130" s="390"/>
      <c r="C130" s="66"/>
      <c r="D130" s="66"/>
      <c r="E130" s="66"/>
      <c r="F130" s="66"/>
      <c r="G130" s="66"/>
      <c r="H130" s="105"/>
      <c r="I130" s="105"/>
      <c r="J130" s="66"/>
      <c r="K130" s="66"/>
      <c r="L130" s="66"/>
      <c r="M130" s="66"/>
      <c r="N130" s="66"/>
      <c r="O130" s="244"/>
      <c r="P130" s="66"/>
      <c r="Q130" s="66"/>
      <c r="R130" s="66"/>
      <c r="S130" s="66"/>
      <c r="T130" s="66"/>
      <c r="U130" s="66"/>
      <c r="V130" s="66"/>
      <c r="W130" s="66"/>
      <c r="X130" s="66"/>
      <c r="Y130" s="66"/>
      <c r="Z130" s="66"/>
      <c r="AA130" s="66"/>
    </row>
    <row r="131" spans="1:27" ht="22.5" customHeight="1" x14ac:dyDescent="0.25">
      <c r="A131" s="390"/>
      <c r="B131" s="390"/>
      <c r="C131" s="66"/>
      <c r="D131" s="66"/>
      <c r="E131" s="66"/>
      <c r="F131" s="66"/>
      <c r="G131" s="66"/>
      <c r="H131" s="105"/>
      <c r="I131" s="105"/>
      <c r="J131" s="66"/>
      <c r="K131" s="66"/>
      <c r="L131" s="66"/>
      <c r="M131" s="66"/>
      <c r="N131" s="66"/>
      <c r="O131" s="244"/>
      <c r="P131" s="66"/>
      <c r="Q131" s="66"/>
      <c r="R131" s="66"/>
      <c r="S131" s="66"/>
      <c r="T131" s="66"/>
      <c r="U131" s="66"/>
      <c r="V131" s="66"/>
      <c r="W131" s="66"/>
      <c r="X131" s="66"/>
      <c r="Y131" s="66"/>
      <c r="Z131" s="66"/>
      <c r="AA131" s="66"/>
    </row>
    <row r="132" spans="1:27" ht="22.5" customHeight="1" x14ac:dyDescent="0.25">
      <c r="A132" s="390"/>
      <c r="B132" s="390"/>
      <c r="C132" s="66"/>
      <c r="D132" s="66"/>
      <c r="E132" s="66"/>
      <c r="F132" s="66"/>
      <c r="G132" s="66"/>
      <c r="H132" s="105"/>
      <c r="I132" s="105"/>
      <c r="J132" s="66"/>
      <c r="K132" s="66"/>
      <c r="L132" s="66"/>
      <c r="M132" s="66"/>
      <c r="N132" s="66"/>
      <c r="O132" s="244"/>
      <c r="P132" s="66"/>
      <c r="Q132" s="66"/>
      <c r="R132" s="66"/>
      <c r="S132" s="66"/>
      <c r="T132" s="66"/>
      <c r="U132" s="66"/>
      <c r="V132" s="66"/>
      <c r="W132" s="66"/>
      <c r="X132" s="66"/>
      <c r="Y132" s="66"/>
      <c r="Z132" s="66"/>
      <c r="AA132" s="66"/>
    </row>
    <row r="133" spans="1:27" ht="22.5" customHeight="1" x14ac:dyDescent="0.25">
      <c r="A133" s="390"/>
      <c r="B133" s="390"/>
      <c r="C133" s="66"/>
      <c r="D133" s="66"/>
      <c r="E133" s="66"/>
      <c r="F133" s="66"/>
      <c r="G133" s="66"/>
      <c r="H133" s="105"/>
      <c r="I133" s="105"/>
      <c r="J133" s="66"/>
      <c r="K133" s="66"/>
      <c r="L133" s="66"/>
      <c r="M133" s="66"/>
      <c r="N133" s="66"/>
      <c r="O133" s="244"/>
      <c r="P133" s="66"/>
      <c r="Q133" s="66"/>
      <c r="R133" s="66"/>
      <c r="S133" s="66"/>
      <c r="T133" s="66"/>
      <c r="U133" s="66"/>
      <c r="V133" s="66"/>
      <c r="W133" s="66"/>
      <c r="X133" s="66"/>
      <c r="Y133" s="66"/>
      <c r="Z133" s="66"/>
      <c r="AA133" s="66"/>
    </row>
    <row r="134" spans="1:27" ht="22.5" customHeight="1" x14ac:dyDescent="0.25">
      <c r="A134" s="390"/>
      <c r="B134" s="390"/>
      <c r="C134" s="66"/>
      <c r="D134" s="66"/>
      <c r="E134" s="66"/>
      <c r="F134" s="66"/>
      <c r="G134" s="66"/>
      <c r="H134" s="105"/>
      <c r="I134" s="105"/>
      <c r="J134" s="66"/>
      <c r="K134" s="66"/>
      <c r="L134" s="66"/>
      <c r="M134" s="66"/>
      <c r="N134" s="66"/>
      <c r="O134" s="244"/>
      <c r="P134" s="66"/>
      <c r="Q134" s="66"/>
      <c r="R134" s="66"/>
      <c r="S134" s="66"/>
      <c r="T134" s="66"/>
      <c r="U134" s="66"/>
      <c r="V134" s="66"/>
      <c r="W134" s="66"/>
      <c r="X134" s="66"/>
      <c r="Y134" s="66"/>
      <c r="Z134" s="66"/>
      <c r="AA134" s="66"/>
    </row>
    <row r="135" spans="1:27" ht="22.5" customHeight="1" x14ac:dyDescent="0.25">
      <c r="A135" s="390"/>
      <c r="B135" s="390"/>
      <c r="C135" s="66"/>
      <c r="D135" s="66"/>
      <c r="E135" s="66"/>
      <c r="F135" s="66"/>
      <c r="G135" s="66"/>
      <c r="H135" s="105"/>
      <c r="I135" s="105"/>
      <c r="J135" s="66"/>
      <c r="K135" s="66"/>
      <c r="L135" s="66"/>
      <c r="M135" s="66"/>
      <c r="N135" s="66"/>
      <c r="O135" s="244"/>
      <c r="P135" s="66"/>
      <c r="Q135" s="66"/>
      <c r="R135" s="66"/>
      <c r="S135" s="66"/>
      <c r="T135" s="66"/>
      <c r="U135" s="66"/>
      <c r="V135" s="66"/>
      <c r="W135" s="66"/>
      <c r="X135" s="66"/>
      <c r="Y135" s="66"/>
      <c r="Z135" s="66"/>
      <c r="AA135" s="66"/>
    </row>
    <row r="136" spans="1:27" ht="22.5" customHeight="1" x14ac:dyDescent="0.25">
      <c r="A136" s="390"/>
      <c r="B136" s="390"/>
    </row>
  </sheetData>
  <mergeCells count="8">
    <mergeCell ref="C123:N123"/>
    <mergeCell ref="C124:N124"/>
    <mergeCell ref="C5:N6"/>
    <mergeCell ref="C8:N16"/>
    <mergeCell ref="C119:N119"/>
    <mergeCell ref="C120:N120"/>
    <mergeCell ref="C121:N121"/>
    <mergeCell ref="C122:N122"/>
  </mergeCells>
  <printOptions horizontalCentered="1" headings="1"/>
  <pageMargins left="1" right="1" top="1.25" bottom="0.5" header="0.5" footer="0.5"/>
  <pageSetup paperSize="17" scale="47" orientation="portrait" r:id="rId1"/>
  <headerFooter scaleWithDoc="0">
    <oddHeader>&amp;R&amp;"Arial,Bold"ICC Docket No. 17-0312
Statewide Quarterly Report ComEd 2019 Q4 
Tab: &amp;A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387E-0456-4DC6-A195-1E0A11745E5B}">
  <sheetPr codeName="Sheet7"/>
  <dimension ref="A1:H135"/>
  <sheetViews>
    <sheetView topLeftCell="A112" workbookViewId="0">
      <selection activeCell="E134" sqref="E134"/>
    </sheetView>
  </sheetViews>
  <sheetFormatPr defaultRowHeight="15" x14ac:dyDescent="0.25"/>
  <cols>
    <col min="1" max="1" width="15.42578125" customWidth="1"/>
    <col min="2" max="2" width="19.7109375" customWidth="1"/>
    <col min="3" max="3" width="29.140625" bestFit="1" customWidth="1"/>
    <col min="4" max="4" width="19.7109375" bestFit="1" customWidth="1"/>
    <col min="5" max="5" width="36.28515625" customWidth="1"/>
    <col min="6" max="6" width="14.85546875" customWidth="1"/>
    <col min="7" max="7" width="19.7109375" bestFit="1" customWidth="1"/>
    <col min="8" max="8" width="18.5703125" customWidth="1"/>
  </cols>
  <sheetData>
    <row r="1" spans="1:8" ht="15.75" thickBot="1" x14ac:dyDescent="0.3">
      <c r="A1" s="313"/>
      <c r="B1" s="313"/>
      <c r="C1" s="313"/>
      <c r="D1" s="313">
        <v>1</v>
      </c>
      <c r="E1" s="313">
        <v>2</v>
      </c>
      <c r="F1" s="313">
        <v>18</v>
      </c>
      <c r="G1" s="313">
        <v>62</v>
      </c>
      <c r="H1" s="313">
        <v>78</v>
      </c>
    </row>
    <row r="2" spans="1:8" ht="30.75" thickBot="1" x14ac:dyDescent="0.3">
      <c r="A2" s="279"/>
      <c r="B2" s="279"/>
      <c r="C2" s="279"/>
      <c r="D2" s="279"/>
      <c r="E2" s="279"/>
      <c r="F2" s="357" t="s">
        <v>204</v>
      </c>
      <c r="G2" s="355" t="s">
        <v>205</v>
      </c>
      <c r="H2" s="356" t="s">
        <v>639</v>
      </c>
    </row>
    <row r="3" spans="1:8" ht="24.6" customHeight="1" thickBot="1" x14ac:dyDescent="0.3">
      <c r="A3" s="254" t="s">
        <v>206</v>
      </c>
      <c r="B3" s="254" t="s">
        <v>207</v>
      </c>
      <c r="C3" s="254" t="s">
        <v>208</v>
      </c>
      <c r="D3" s="254" t="s">
        <v>209</v>
      </c>
      <c r="E3" s="358" t="s">
        <v>210</v>
      </c>
      <c r="F3" s="396" t="s">
        <v>638</v>
      </c>
      <c r="G3" s="359" t="s">
        <v>638</v>
      </c>
      <c r="H3" s="360" t="s">
        <v>211</v>
      </c>
    </row>
    <row r="4" spans="1:8" x14ac:dyDescent="0.25">
      <c r="A4" s="325">
        <v>486</v>
      </c>
      <c r="B4" s="325">
        <v>79449</v>
      </c>
      <c r="C4" s="256" t="s">
        <v>212</v>
      </c>
      <c r="D4" s="273" t="s">
        <v>213</v>
      </c>
      <c r="E4" s="255" t="s">
        <v>126</v>
      </c>
      <c r="F4" s="397">
        <v>574086.42142455769</v>
      </c>
      <c r="G4" s="272">
        <v>488016.51</v>
      </c>
      <c r="H4" s="272">
        <v>307964.46000000002</v>
      </c>
    </row>
    <row r="5" spans="1:8" x14ac:dyDescent="0.25">
      <c r="A5" s="325">
        <v>486</v>
      </c>
      <c r="B5" s="325">
        <v>79449</v>
      </c>
      <c r="C5" s="256" t="s">
        <v>212</v>
      </c>
      <c r="D5" s="273" t="s">
        <v>214</v>
      </c>
      <c r="E5" s="255" t="s">
        <v>129</v>
      </c>
      <c r="F5" s="397">
        <v>4107264.7532000006</v>
      </c>
      <c r="G5" s="272">
        <v>2792688.7710377667</v>
      </c>
      <c r="H5" s="272">
        <v>1651033.29</v>
      </c>
    </row>
    <row r="6" spans="1:8" x14ac:dyDescent="0.25">
      <c r="A6" s="325">
        <v>486</v>
      </c>
      <c r="B6" s="325">
        <v>79449</v>
      </c>
      <c r="C6" s="256" t="s">
        <v>212</v>
      </c>
      <c r="D6" s="273" t="s">
        <v>215</v>
      </c>
      <c r="E6" s="255" t="s">
        <v>163</v>
      </c>
      <c r="F6" s="397">
        <v>1872189</v>
      </c>
      <c r="G6" s="272">
        <v>1837430.2618584</v>
      </c>
      <c r="H6" s="272">
        <v>982729.16</v>
      </c>
    </row>
    <row r="7" spans="1:8" x14ac:dyDescent="0.25">
      <c r="A7" s="325">
        <v>486</v>
      </c>
      <c r="B7" s="325">
        <v>79449</v>
      </c>
      <c r="C7" s="256" t="s">
        <v>212</v>
      </c>
      <c r="D7" s="273" t="s">
        <v>216</v>
      </c>
      <c r="E7" s="255" t="s">
        <v>217</v>
      </c>
      <c r="F7" s="397">
        <v>23238880</v>
      </c>
      <c r="G7" s="272">
        <v>25753861.971111819</v>
      </c>
      <c r="H7" s="272">
        <v>19119033.219999999</v>
      </c>
    </row>
    <row r="8" spans="1:8" x14ac:dyDescent="0.25">
      <c r="A8" s="325">
        <v>486</v>
      </c>
      <c r="B8" s="325">
        <v>79449</v>
      </c>
      <c r="C8" s="256" t="s">
        <v>212</v>
      </c>
      <c r="D8" s="273" t="s">
        <v>218</v>
      </c>
      <c r="E8" s="255" t="s">
        <v>219</v>
      </c>
      <c r="F8" s="397">
        <v>6111000</v>
      </c>
      <c r="G8" s="272">
        <v>6111600</v>
      </c>
      <c r="H8" s="272">
        <v>3233300</v>
      </c>
    </row>
    <row r="9" spans="1:8" x14ac:dyDescent="0.25">
      <c r="A9" s="325">
        <v>486</v>
      </c>
      <c r="B9" s="325">
        <v>79449</v>
      </c>
      <c r="C9" s="256" t="s">
        <v>212</v>
      </c>
      <c r="D9" s="273" t="s">
        <v>220</v>
      </c>
      <c r="E9" s="255" t="s">
        <v>154</v>
      </c>
      <c r="F9" s="397">
        <v>27200000.162481137</v>
      </c>
      <c r="G9" s="272">
        <v>26280443.809999999</v>
      </c>
      <c r="H9" s="272">
        <v>16781459.459999997</v>
      </c>
    </row>
    <row r="10" spans="1:8" ht="25.5" x14ac:dyDescent="0.25">
      <c r="A10" s="325">
        <v>486</v>
      </c>
      <c r="B10" s="325">
        <v>79449</v>
      </c>
      <c r="C10" s="256" t="s">
        <v>212</v>
      </c>
      <c r="D10" s="273" t="s">
        <v>221</v>
      </c>
      <c r="E10" s="256" t="s">
        <v>157</v>
      </c>
      <c r="F10" s="397">
        <v>4544926.4461388774</v>
      </c>
      <c r="G10" s="272">
        <v>5312782.0199999996</v>
      </c>
      <c r="H10" s="272">
        <v>4022780.65</v>
      </c>
    </row>
    <row r="11" spans="1:8" x14ac:dyDescent="0.25">
      <c r="A11" s="325">
        <v>486</v>
      </c>
      <c r="B11" s="325">
        <v>79449</v>
      </c>
      <c r="C11" s="256" t="s">
        <v>212</v>
      </c>
      <c r="D11" s="273" t="s">
        <v>636</v>
      </c>
      <c r="E11" s="255" t="s">
        <v>123</v>
      </c>
      <c r="F11" s="397">
        <v>6259879.9600000009</v>
      </c>
      <c r="G11" s="279">
        <v>0</v>
      </c>
      <c r="H11" s="279">
        <v>0</v>
      </c>
    </row>
    <row r="12" spans="1:8" x14ac:dyDescent="0.25">
      <c r="A12" s="325">
        <v>486</v>
      </c>
      <c r="B12" s="325">
        <v>79449</v>
      </c>
      <c r="C12" s="256" t="s">
        <v>212</v>
      </c>
      <c r="D12" s="273" t="s">
        <v>222</v>
      </c>
      <c r="E12" s="256" t="s">
        <v>223</v>
      </c>
      <c r="F12" s="397">
        <v>4448118</v>
      </c>
      <c r="G12" s="272">
        <v>3752748.7925870186</v>
      </c>
      <c r="H12" s="272">
        <v>1418546.4699999997</v>
      </c>
    </row>
    <row r="13" spans="1:8" x14ac:dyDescent="0.25">
      <c r="A13" s="325">
        <v>486</v>
      </c>
      <c r="B13" s="325">
        <v>79449</v>
      </c>
      <c r="C13" s="256" t="s">
        <v>212</v>
      </c>
      <c r="D13" s="273" t="s">
        <v>224</v>
      </c>
      <c r="E13" s="256" t="s">
        <v>225</v>
      </c>
      <c r="F13" s="397">
        <v>5034895</v>
      </c>
      <c r="G13" s="272">
        <v>5343398.1719185226</v>
      </c>
      <c r="H13" s="272">
        <v>3770398.5999999996</v>
      </c>
    </row>
    <row r="14" spans="1:8" x14ac:dyDescent="0.25">
      <c r="A14" s="326">
        <v>486</v>
      </c>
      <c r="B14" s="326">
        <v>79449</v>
      </c>
      <c r="C14" s="314" t="s">
        <v>212</v>
      </c>
      <c r="D14" s="327" t="s">
        <v>226</v>
      </c>
      <c r="E14" s="328"/>
      <c r="F14" s="398">
        <v>83391239.743244573</v>
      </c>
      <c r="G14" s="324">
        <v>77672970.308513522</v>
      </c>
      <c r="H14" s="318">
        <v>51287245.309999995</v>
      </c>
    </row>
    <row r="15" spans="1:8" x14ac:dyDescent="0.25">
      <c r="A15" s="325">
        <v>486</v>
      </c>
      <c r="B15" s="325">
        <v>79458</v>
      </c>
      <c r="C15" s="256" t="s">
        <v>227</v>
      </c>
      <c r="D15" s="273" t="s">
        <v>228</v>
      </c>
      <c r="E15" s="256" t="s">
        <v>135</v>
      </c>
      <c r="F15" s="399">
        <v>924958</v>
      </c>
      <c r="G15" s="275">
        <v>938394.75000000023</v>
      </c>
      <c r="H15" s="275">
        <v>908261.95000000019</v>
      </c>
    </row>
    <row r="16" spans="1:8" x14ac:dyDescent="0.25">
      <c r="A16" s="325">
        <v>486</v>
      </c>
      <c r="B16" s="325">
        <v>79458</v>
      </c>
      <c r="C16" s="256" t="s">
        <v>227</v>
      </c>
      <c r="D16" s="273" t="s">
        <v>229</v>
      </c>
      <c r="E16" s="256" t="s">
        <v>230</v>
      </c>
      <c r="F16" s="400">
        <v>9096600</v>
      </c>
      <c r="G16" s="275">
        <v>8243301.3300000001</v>
      </c>
      <c r="H16" s="275">
        <v>6253441.2000000002</v>
      </c>
    </row>
    <row r="17" spans="1:8" x14ac:dyDescent="0.25">
      <c r="A17" s="325">
        <v>486</v>
      </c>
      <c r="B17" s="325">
        <v>79458</v>
      </c>
      <c r="C17" s="256" t="s">
        <v>227</v>
      </c>
      <c r="D17" s="273" t="s">
        <v>231</v>
      </c>
      <c r="E17" s="256" t="s">
        <v>171</v>
      </c>
      <c r="F17" s="399">
        <v>1737537</v>
      </c>
      <c r="G17" s="275">
        <v>2211908.41</v>
      </c>
      <c r="H17" s="275">
        <v>1492210.21</v>
      </c>
    </row>
    <row r="18" spans="1:8" x14ac:dyDescent="0.25">
      <c r="A18" s="325">
        <v>486</v>
      </c>
      <c r="B18" s="325">
        <v>79458</v>
      </c>
      <c r="C18" s="256" t="s">
        <v>227</v>
      </c>
      <c r="D18" s="273" t="s">
        <v>232</v>
      </c>
      <c r="E18" s="256" t="s">
        <v>141</v>
      </c>
      <c r="F18" s="399">
        <v>3349555.25</v>
      </c>
      <c r="G18" s="275">
        <v>4118513.53</v>
      </c>
      <c r="H18" s="275">
        <v>2782708.1399999997</v>
      </c>
    </row>
    <row r="19" spans="1:8" x14ac:dyDescent="0.25">
      <c r="A19" s="325">
        <v>486</v>
      </c>
      <c r="B19" s="325">
        <v>79458</v>
      </c>
      <c r="C19" s="256" t="s">
        <v>227</v>
      </c>
      <c r="D19" s="273" t="s">
        <v>233</v>
      </c>
      <c r="E19" s="256" t="s">
        <v>169</v>
      </c>
      <c r="F19" s="399">
        <v>15003482.27</v>
      </c>
      <c r="G19" s="275">
        <v>15258070.869999999</v>
      </c>
      <c r="H19" s="275">
        <v>12060626.099999998</v>
      </c>
    </row>
    <row r="20" spans="1:8" x14ac:dyDescent="0.25">
      <c r="A20" s="325">
        <v>486</v>
      </c>
      <c r="B20" s="325">
        <v>79458</v>
      </c>
      <c r="C20" s="256" t="s">
        <v>227</v>
      </c>
      <c r="D20" s="273" t="s">
        <v>234</v>
      </c>
      <c r="E20" s="256" t="s">
        <v>138</v>
      </c>
      <c r="F20" s="399">
        <v>185700</v>
      </c>
      <c r="G20" s="275">
        <v>187250.58000000002</v>
      </c>
      <c r="H20" s="275">
        <v>115889.39</v>
      </c>
    </row>
    <row r="21" spans="1:8" x14ac:dyDescent="0.25">
      <c r="A21" s="325">
        <v>486</v>
      </c>
      <c r="B21" s="325">
        <v>79458</v>
      </c>
      <c r="C21" s="256" t="s">
        <v>227</v>
      </c>
      <c r="D21" s="273" t="s">
        <v>235</v>
      </c>
      <c r="E21" s="256" t="s">
        <v>236</v>
      </c>
      <c r="F21" s="400">
        <v>2859483</v>
      </c>
      <c r="G21" s="275">
        <v>1585451.9</v>
      </c>
      <c r="H21" s="275">
        <v>1050930.0900000001</v>
      </c>
    </row>
    <row r="22" spans="1:8" x14ac:dyDescent="0.25">
      <c r="A22" s="325">
        <v>486</v>
      </c>
      <c r="B22" s="325">
        <v>79458</v>
      </c>
      <c r="C22" s="256" t="s">
        <v>227</v>
      </c>
      <c r="D22" s="329" t="s">
        <v>237</v>
      </c>
      <c r="E22" s="330" t="s">
        <v>238</v>
      </c>
      <c r="F22" s="399">
        <v>0</v>
      </c>
      <c r="G22" s="255">
        <v>0</v>
      </c>
      <c r="H22" s="275">
        <v>0</v>
      </c>
    </row>
    <row r="23" spans="1:8" x14ac:dyDescent="0.25">
      <c r="A23" s="331">
        <v>486</v>
      </c>
      <c r="B23" s="331">
        <v>79458</v>
      </c>
      <c r="C23" s="330" t="s">
        <v>227</v>
      </c>
      <c r="D23" s="329" t="s">
        <v>239</v>
      </c>
      <c r="E23" s="330" t="s">
        <v>166</v>
      </c>
      <c r="F23" s="399">
        <v>22394227</v>
      </c>
      <c r="G23" s="275">
        <v>22735591.999999996</v>
      </c>
      <c r="H23" s="275">
        <v>16192988.889999997</v>
      </c>
    </row>
    <row r="24" spans="1:8" x14ac:dyDescent="0.25">
      <c r="A24" s="325">
        <v>486</v>
      </c>
      <c r="B24" s="325">
        <v>79458</v>
      </c>
      <c r="C24" s="256" t="s">
        <v>227</v>
      </c>
      <c r="D24" s="273" t="s">
        <v>240</v>
      </c>
      <c r="E24" s="256" t="s">
        <v>149</v>
      </c>
      <c r="F24" s="400">
        <v>6643062.25</v>
      </c>
      <c r="G24" s="275">
        <v>8618952.3300000019</v>
      </c>
      <c r="H24" s="275">
        <v>6849828.7199999997</v>
      </c>
    </row>
    <row r="25" spans="1:8" x14ac:dyDescent="0.25">
      <c r="A25" s="332">
        <v>486</v>
      </c>
      <c r="B25" s="332">
        <v>79458</v>
      </c>
      <c r="C25" s="258" t="s">
        <v>227</v>
      </c>
      <c r="D25" s="333" t="s">
        <v>241</v>
      </c>
      <c r="E25" s="258" t="s">
        <v>242</v>
      </c>
      <c r="F25" s="399">
        <v>0</v>
      </c>
      <c r="G25" s="255">
        <v>0</v>
      </c>
      <c r="H25" s="255">
        <v>0</v>
      </c>
    </row>
    <row r="26" spans="1:8" x14ac:dyDescent="0.25">
      <c r="A26" s="325">
        <v>486</v>
      </c>
      <c r="B26" s="325">
        <v>79458</v>
      </c>
      <c r="C26" s="256" t="s">
        <v>227</v>
      </c>
      <c r="D26" s="273" t="s">
        <v>243</v>
      </c>
      <c r="E26" s="256" t="s">
        <v>146</v>
      </c>
      <c r="F26" s="399">
        <v>742800</v>
      </c>
      <c r="G26" s="275">
        <v>725549.44</v>
      </c>
      <c r="H26" s="275">
        <v>366534.18</v>
      </c>
    </row>
    <row r="27" spans="1:8" x14ac:dyDescent="0.25">
      <c r="A27" s="332">
        <v>486</v>
      </c>
      <c r="B27" s="332">
        <v>79458</v>
      </c>
      <c r="C27" s="258" t="s">
        <v>227</v>
      </c>
      <c r="D27" s="333" t="s">
        <v>244</v>
      </c>
      <c r="E27" s="258" t="s">
        <v>245</v>
      </c>
      <c r="F27" s="399">
        <v>0</v>
      </c>
      <c r="G27" s="255">
        <v>0</v>
      </c>
      <c r="H27" s="255">
        <v>0</v>
      </c>
    </row>
    <row r="28" spans="1:8" x14ac:dyDescent="0.25">
      <c r="A28" s="325">
        <v>486</v>
      </c>
      <c r="B28" s="325">
        <v>79458</v>
      </c>
      <c r="C28" s="256" t="s">
        <v>227</v>
      </c>
      <c r="D28" s="273" t="s">
        <v>246</v>
      </c>
      <c r="E28" s="256" t="s">
        <v>176</v>
      </c>
      <c r="F28" s="400">
        <v>2718558</v>
      </c>
      <c r="G28" s="275">
        <v>2406926.4900000002</v>
      </c>
      <c r="H28" s="275">
        <v>1087851.6000000001</v>
      </c>
    </row>
    <row r="29" spans="1:8" x14ac:dyDescent="0.25">
      <c r="A29" s="332">
        <v>486</v>
      </c>
      <c r="B29" s="332">
        <v>79458</v>
      </c>
      <c r="C29" s="258" t="s">
        <v>227</v>
      </c>
      <c r="D29" s="333" t="s">
        <v>247</v>
      </c>
      <c r="E29" s="258" t="s">
        <v>248</v>
      </c>
      <c r="F29" s="399">
        <v>0</v>
      </c>
      <c r="G29" s="255">
        <v>0</v>
      </c>
      <c r="H29" s="255">
        <v>0</v>
      </c>
    </row>
    <row r="30" spans="1:8" x14ac:dyDescent="0.25">
      <c r="A30" s="325">
        <v>486</v>
      </c>
      <c r="B30" s="325">
        <v>79458</v>
      </c>
      <c r="C30" s="256" t="s">
        <v>227</v>
      </c>
      <c r="D30" s="273" t="s">
        <v>249</v>
      </c>
      <c r="E30" s="256" t="s">
        <v>250</v>
      </c>
      <c r="F30" s="400">
        <v>1003400</v>
      </c>
      <c r="G30" s="275">
        <v>1303725.3600000001</v>
      </c>
      <c r="H30" s="275">
        <v>837808.04</v>
      </c>
    </row>
    <row r="31" spans="1:8" x14ac:dyDescent="0.25">
      <c r="A31" s="325">
        <v>486</v>
      </c>
      <c r="B31" s="325">
        <v>79458</v>
      </c>
      <c r="C31" s="256" t="s">
        <v>227</v>
      </c>
      <c r="D31" s="329" t="s">
        <v>251</v>
      </c>
      <c r="E31" s="330" t="s">
        <v>252</v>
      </c>
      <c r="F31" s="399">
        <v>0</v>
      </c>
      <c r="G31" s="255">
        <v>0</v>
      </c>
      <c r="H31" s="255">
        <v>0</v>
      </c>
    </row>
    <row r="32" spans="1:8" x14ac:dyDescent="0.25">
      <c r="A32" s="257">
        <v>486</v>
      </c>
      <c r="B32" s="257">
        <v>79458</v>
      </c>
      <c r="C32" s="259" t="s">
        <v>227</v>
      </c>
      <c r="D32" s="327" t="s">
        <v>226</v>
      </c>
      <c r="E32" s="259"/>
      <c r="F32" s="401">
        <v>66659362.769999988</v>
      </c>
      <c r="G32" s="274">
        <v>68333636.99000001</v>
      </c>
      <c r="H32" s="318">
        <v>49999078.510000005</v>
      </c>
    </row>
    <row r="33" spans="1:8" x14ac:dyDescent="0.25">
      <c r="A33" s="325">
        <v>486</v>
      </c>
      <c r="B33" s="325">
        <v>79460</v>
      </c>
      <c r="C33" s="256" t="s">
        <v>253</v>
      </c>
      <c r="D33" s="273" t="s">
        <v>254</v>
      </c>
      <c r="E33" s="256" t="s">
        <v>178</v>
      </c>
      <c r="F33" s="399">
        <v>1441259</v>
      </c>
      <c r="G33" s="275">
        <v>1395923.232229</v>
      </c>
      <c r="H33" s="275">
        <v>219711.10222899998</v>
      </c>
    </row>
    <row r="34" spans="1:8" x14ac:dyDescent="0.25">
      <c r="A34" s="325">
        <v>486</v>
      </c>
      <c r="B34" s="325">
        <v>79460</v>
      </c>
      <c r="C34" s="256" t="s">
        <v>253</v>
      </c>
      <c r="D34" s="273" t="s">
        <v>255</v>
      </c>
      <c r="E34" s="256" t="s">
        <v>142</v>
      </c>
      <c r="F34" s="399">
        <v>457500</v>
      </c>
      <c r="G34" s="275">
        <v>3754126.3</v>
      </c>
      <c r="H34" s="275">
        <v>175056.12999999998</v>
      </c>
    </row>
    <row r="35" spans="1:8" ht="25.5" x14ac:dyDescent="0.25">
      <c r="A35" s="325">
        <v>486</v>
      </c>
      <c r="B35" s="325">
        <v>79460</v>
      </c>
      <c r="C35" s="256" t="s">
        <v>253</v>
      </c>
      <c r="D35" s="273" t="s">
        <v>256</v>
      </c>
      <c r="E35" s="256" t="s">
        <v>257</v>
      </c>
      <c r="F35" s="399">
        <v>2440000</v>
      </c>
      <c r="G35" s="275">
        <v>4417668.1400000006</v>
      </c>
      <c r="H35" s="275">
        <v>2417668.14</v>
      </c>
    </row>
    <row r="36" spans="1:8" ht="25.5" x14ac:dyDescent="0.25">
      <c r="A36" s="325">
        <v>486</v>
      </c>
      <c r="B36" s="325">
        <v>79460</v>
      </c>
      <c r="C36" s="256" t="s">
        <v>253</v>
      </c>
      <c r="D36" s="273" t="s">
        <v>258</v>
      </c>
      <c r="E36" s="256" t="s">
        <v>123</v>
      </c>
      <c r="F36" s="399">
        <v>0</v>
      </c>
      <c r="G36" s="275">
        <v>6208638.5600000015</v>
      </c>
      <c r="H36" s="275">
        <v>4655154.1000000006</v>
      </c>
    </row>
    <row r="37" spans="1:8" ht="25.5" x14ac:dyDescent="0.25">
      <c r="A37" s="257">
        <v>486</v>
      </c>
      <c r="B37" s="257">
        <v>79460</v>
      </c>
      <c r="C37" s="259" t="s">
        <v>253</v>
      </c>
      <c r="D37" s="266" t="s">
        <v>259</v>
      </c>
      <c r="E37" s="259"/>
      <c r="F37" s="401">
        <v>4338759</v>
      </c>
      <c r="G37" s="324">
        <v>15776356.232229</v>
      </c>
      <c r="H37" s="318">
        <v>7467589.4722290002</v>
      </c>
    </row>
    <row r="38" spans="1:8" x14ac:dyDescent="0.25">
      <c r="A38" s="334">
        <v>486</v>
      </c>
      <c r="B38" s="335"/>
      <c r="C38" s="260" t="s">
        <v>260</v>
      </c>
      <c r="D38" s="336" t="s">
        <v>259</v>
      </c>
      <c r="E38" s="260"/>
      <c r="F38" s="402">
        <v>0</v>
      </c>
      <c r="G38" s="276">
        <v>0</v>
      </c>
      <c r="H38" s="276">
        <v>0</v>
      </c>
    </row>
    <row r="39" spans="1:8" ht="25.5" x14ac:dyDescent="0.25">
      <c r="A39" s="337">
        <v>486</v>
      </c>
      <c r="B39" s="338">
        <v>69450</v>
      </c>
      <c r="C39" s="261" t="s">
        <v>261</v>
      </c>
      <c r="D39" s="339" t="s">
        <v>259</v>
      </c>
      <c r="E39" s="261"/>
      <c r="F39" s="403">
        <v>2874424.9521569996</v>
      </c>
      <c r="G39" s="277">
        <v>3434855.8153449134</v>
      </c>
      <c r="H39" s="277">
        <v>2779938.1300000008</v>
      </c>
    </row>
    <row r="40" spans="1:8" x14ac:dyDescent="0.25">
      <c r="A40" s="340">
        <v>486</v>
      </c>
      <c r="B40" s="341" t="s">
        <v>262</v>
      </c>
      <c r="C40" s="315" t="s">
        <v>263</v>
      </c>
      <c r="D40" s="342" t="s">
        <v>259</v>
      </c>
      <c r="E40" s="262"/>
      <c r="F40" s="413">
        <v>157263786.46540156</v>
      </c>
      <c r="G40" s="278">
        <v>165217819.34608746</v>
      </c>
      <c r="H40" s="278">
        <v>111533851.42222901</v>
      </c>
    </row>
    <row r="41" spans="1:8" x14ac:dyDescent="0.25">
      <c r="A41" s="325">
        <v>499</v>
      </c>
      <c r="B41" s="325">
        <v>75909</v>
      </c>
      <c r="C41" s="256" t="s">
        <v>264</v>
      </c>
      <c r="D41" s="273" t="s">
        <v>265</v>
      </c>
      <c r="E41" s="256" t="s">
        <v>39</v>
      </c>
      <c r="F41" s="397">
        <v>50000</v>
      </c>
      <c r="G41" s="272">
        <v>50000.17</v>
      </c>
      <c r="H41" s="272">
        <v>58415.21</v>
      </c>
    </row>
    <row r="42" spans="1:8" x14ac:dyDescent="0.25">
      <c r="A42" s="325">
        <v>499</v>
      </c>
      <c r="B42" s="325">
        <v>75909</v>
      </c>
      <c r="C42" s="256" t="s">
        <v>264</v>
      </c>
      <c r="D42" s="273" t="s">
        <v>266</v>
      </c>
      <c r="E42" s="256" t="s">
        <v>44</v>
      </c>
      <c r="F42" s="397">
        <v>51248795.004322879</v>
      </c>
      <c r="G42" s="272">
        <v>50707778.210000008</v>
      </c>
      <c r="H42" s="272">
        <v>33828480.369999997</v>
      </c>
    </row>
    <row r="43" spans="1:8" x14ac:dyDescent="0.25">
      <c r="A43" s="325">
        <v>499</v>
      </c>
      <c r="B43" s="325">
        <v>75909</v>
      </c>
      <c r="C43" s="256" t="s">
        <v>264</v>
      </c>
      <c r="D43" s="273" t="s">
        <v>267</v>
      </c>
      <c r="E43" s="256" t="s">
        <v>81</v>
      </c>
      <c r="F43" s="397">
        <v>12528424.99672728</v>
      </c>
      <c r="G43" s="272">
        <v>11535690.529999999</v>
      </c>
      <c r="H43" s="272">
        <v>5763500.0099999998</v>
      </c>
    </row>
    <row r="44" spans="1:8" x14ac:dyDescent="0.25">
      <c r="A44" s="325">
        <v>499</v>
      </c>
      <c r="B44" s="325">
        <v>75909</v>
      </c>
      <c r="C44" s="256" t="s">
        <v>264</v>
      </c>
      <c r="D44" s="273" t="s">
        <v>268</v>
      </c>
      <c r="E44" s="256" t="s">
        <v>28</v>
      </c>
      <c r="F44" s="397">
        <v>75360608.549720004</v>
      </c>
      <c r="G44" s="272">
        <v>68442698.75</v>
      </c>
      <c r="H44" s="272">
        <v>32469677.84</v>
      </c>
    </row>
    <row r="45" spans="1:8" x14ac:dyDescent="0.25">
      <c r="A45" s="325">
        <v>499</v>
      </c>
      <c r="B45" s="325">
        <v>75909</v>
      </c>
      <c r="C45" s="256" t="s">
        <v>264</v>
      </c>
      <c r="D45" s="273" t="s">
        <v>269</v>
      </c>
      <c r="E45" s="256" t="s">
        <v>87</v>
      </c>
      <c r="F45" s="397">
        <v>13069425.263999999</v>
      </c>
      <c r="G45" s="272">
        <v>9283906.7400000002</v>
      </c>
      <c r="H45" s="272">
        <v>5272772.5</v>
      </c>
    </row>
    <row r="46" spans="1:8" x14ac:dyDescent="0.25">
      <c r="A46" s="325">
        <v>499</v>
      </c>
      <c r="B46" s="325">
        <v>75909</v>
      </c>
      <c r="C46" s="256" t="s">
        <v>264</v>
      </c>
      <c r="D46" s="343" t="s">
        <v>270</v>
      </c>
      <c r="E46" s="263" t="s">
        <v>271</v>
      </c>
      <c r="F46" s="397">
        <v>0</v>
      </c>
      <c r="G46" s="279">
        <v>0</v>
      </c>
      <c r="H46" s="279">
        <v>0</v>
      </c>
    </row>
    <row r="47" spans="1:8" x14ac:dyDescent="0.25">
      <c r="A47" s="325">
        <v>499</v>
      </c>
      <c r="B47" s="325">
        <v>75909</v>
      </c>
      <c r="C47" s="256" t="s">
        <v>264</v>
      </c>
      <c r="D47" s="343" t="s">
        <v>272</v>
      </c>
      <c r="E47" s="263" t="s">
        <v>273</v>
      </c>
      <c r="F47" s="397">
        <v>0</v>
      </c>
      <c r="G47" s="279">
        <v>0</v>
      </c>
      <c r="H47" s="279">
        <v>0</v>
      </c>
    </row>
    <row r="48" spans="1:8" x14ac:dyDescent="0.25">
      <c r="A48" s="257">
        <v>499</v>
      </c>
      <c r="B48" s="257">
        <v>75909</v>
      </c>
      <c r="C48" s="259" t="s">
        <v>264</v>
      </c>
      <c r="D48" s="266" t="s">
        <v>259</v>
      </c>
      <c r="E48" s="259"/>
      <c r="F48" s="401">
        <v>152257253.81477016</v>
      </c>
      <c r="G48" s="274">
        <v>140020074.40000001</v>
      </c>
      <c r="H48" s="318">
        <v>77392845.929999992</v>
      </c>
    </row>
    <row r="49" spans="1:8" x14ac:dyDescent="0.25">
      <c r="A49" s="325">
        <v>499</v>
      </c>
      <c r="B49" s="325">
        <v>86277</v>
      </c>
      <c r="C49" s="256" t="s">
        <v>264</v>
      </c>
      <c r="D49" s="273" t="s">
        <v>274</v>
      </c>
      <c r="E49" s="256" t="s">
        <v>74</v>
      </c>
      <c r="F49" s="397">
        <v>6173000.0000000019</v>
      </c>
      <c r="G49" s="272">
        <v>7673099.79</v>
      </c>
      <c r="H49" s="275">
        <v>3609656.79</v>
      </c>
    </row>
    <row r="50" spans="1:8" x14ac:dyDescent="0.25">
      <c r="A50" s="325">
        <v>499</v>
      </c>
      <c r="B50" s="325">
        <v>86277</v>
      </c>
      <c r="C50" s="256" t="s">
        <v>264</v>
      </c>
      <c r="D50" s="273" t="s">
        <v>275</v>
      </c>
      <c r="E50" s="256" t="s">
        <v>107</v>
      </c>
      <c r="F50" s="397">
        <v>1863240.9999999998</v>
      </c>
      <c r="G50" s="272">
        <v>2858690.3499999992</v>
      </c>
      <c r="H50" s="275">
        <v>1250917.9199999997</v>
      </c>
    </row>
    <row r="51" spans="1:8" x14ac:dyDescent="0.25">
      <c r="A51" s="325">
        <v>499</v>
      </c>
      <c r="B51" s="325">
        <v>86277</v>
      </c>
      <c r="C51" s="256" t="s">
        <v>264</v>
      </c>
      <c r="D51" s="273" t="s">
        <v>276</v>
      </c>
      <c r="E51" s="256" t="s">
        <v>277</v>
      </c>
      <c r="F51" s="397">
        <v>500000</v>
      </c>
      <c r="G51" s="272">
        <v>500000</v>
      </c>
      <c r="H51" s="275">
        <v>500000</v>
      </c>
    </row>
    <row r="52" spans="1:8" x14ac:dyDescent="0.25">
      <c r="A52" s="325">
        <v>499</v>
      </c>
      <c r="B52" s="325">
        <v>86277</v>
      </c>
      <c r="C52" s="256" t="s">
        <v>264</v>
      </c>
      <c r="D52" s="329" t="s">
        <v>278</v>
      </c>
      <c r="E52" s="256" t="s">
        <v>279</v>
      </c>
      <c r="F52" s="397">
        <v>150000</v>
      </c>
      <c r="G52" s="272">
        <v>25000</v>
      </c>
      <c r="H52" s="255">
        <v>12000</v>
      </c>
    </row>
    <row r="53" spans="1:8" x14ac:dyDescent="0.25">
      <c r="A53" s="325">
        <v>499</v>
      </c>
      <c r="B53" s="325">
        <v>86277</v>
      </c>
      <c r="C53" s="256" t="s">
        <v>264</v>
      </c>
      <c r="D53" s="329" t="s">
        <v>280</v>
      </c>
      <c r="E53" s="256" t="s">
        <v>187</v>
      </c>
      <c r="F53" s="404">
        <v>102689</v>
      </c>
      <c r="G53" s="271">
        <v>17689</v>
      </c>
      <c r="H53" s="275">
        <v>2688.94</v>
      </c>
    </row>
    <row r="54" spans="1:8" x14ac:dyDescent="0.25">
      <c r="A54" s="325">
        <v>499</v>
      </c>
      <c r="B54" s="325">
        <v>86277</v>
      </c>
      <c r="C54" s="256" t="s">
        <v>264</v>
      </c>
      <c r="D54" s="329"/>
      <c r="E54" s="256"/>
      <c r="F54" s="404">
        <v>0</v>
      </c>
      <c r="G54" s="279">
        <v>0</v>
      </c>
      <c r="H54" s="279">
        <v>0</v>
      </c>
    </row>
    <row r="55" spans="1:8" x14ac:dyDescent="0.25">
      <c r="A55" s="325">
        <v>499</v>
      </c>
      <c r="B55" s="325">
        <v>86277</v>
      </c>
      <c r="C55" s="256" t="s">
        <v>264</v>
      </c>
      <c r="D55" s="329"/>
      <c r="E55" s="256"/>
      <c r="F55" s="404">
        <v>0</v>
      </c>
      <c r="G55" s="279">
        <v>0</v>
      </c>
      <c r="H55" s="279">
        <v>0</v>
      </c>
    </row>
    <row r="56" spans="1:8" x14ac:dyDescent="0.25">
      <c r="A56" s="257">
        <v>499</v>
      </c>
      <c r="B56" s="257">
        <v>86277</v>
      </c>
      <c r="C56" s="259" t="s">
        <v>281</v>
      </c>
      <c r="D56" s="266" t="s">
        <v>226</v>
      </c>
      <c r="E56" s="259"/>
      <c r="F56" s="401">
        <v>8788929.9999999981</v>
      </c>
      <c r="G56" s="274">
        <v>11074479.140000001</v>
      </c>
      <c r="H56" s="318">
        <v>5375263.6500000004</v>
      </c>
    </row>
    <row r="57" spans="1:8" x14ac:dyDescent="0.25">
      <c r="A57" s="331">
        <v>499</v>
      </c>
      <c r="B57" s="331">
        <v>75911</v>
      </c>
      <c r="C57" s="330" t="s">
        <v>282</v>
      </c>
      <c r="D57" s="329" t="s">
        <v>283</v>
      </c>
      <c r="E57" s="330" t="s">
        <v>58</v>
      </c>
      <c r="F57" s="399">
        <v>17115684</v>
      </c>
      <c r="G57" s="275">
        <v>14950360.800000001</v>
      </c>
      <c r="H57" s="275">
        <v>7555650.4900000002</v>
      </c>
    </row>
    <row r="58" spans="1:8" x14ac:dyDescent="0.25">
      <c r="A58" s="325">
        <v>499</v>
      </c>
      <c r="B58" s="325">
        <v>75911</v>
      </c>
      <c r="C58" s="256" t="s">
        <v>282</v>
      </c>
      <c r="D58" s="273" t="s">
        <v>284</v>
      </c>
      <c r="E58" s="256" t="s">
        <v>64</v>
      </c>
      <c r="F58" s="399">
        <v>8256814.0176195074</v>
      </c>
      <c r="G58" s="275">
        <v>8281550.5600000005</v>
      </c>
      <c r="H58" s="275">
        <v>5120771.05</v>
      </c>
    </row>
    <row r="59" spans="1:8" ht="25.5" x14ac:dyDescent="0.25">
      <c r="A59" s="325">
        <v>499</v>
      </c>
      <c r="B59" s="325">
        <v>75911</v>
      </c>
      <c r="C59" s="256" t="s">
        <v>282</v>
      </c>
      <c r="D59" s="273" t="s">
        <v>285</v>
      </c>
      <c r="E59" s="256" t="s">
        <v>97</v>
      </c>
      <c r="F59" s="399">
        <v>1570568.9033333333</v>
      </c>
      <c r="G59" s="275">
        <v>1586479.7799999998</v>
      </c>
      <c r="H59" s="275">
        <v>941533.37</v>
      </c>
    </row>
    <row r="60" spans="1:8" x14ac:dyDescent="0.25">
      <c r="A60" s="325">
        <v>499</v>
      </c>
      <c r="B60" s="325">
        <v>75911</v>
      </c>
      <c r="C60" s="256" t="s">
        <v>282</v>
      </c>
      <c r="D60" s="273" t="s">
        <v>286</v>
      </c>
      <c r="E60" s="256" t="s">
        <v>47</v>
      </c>
      <c r="F60" s="399">
        <v>8275328</v>
      </c>
      <c r="G60" s="275">
        <v>7681153.4853328103</v>
      </c>
      <c r="H60" s="275">
        <v>3654637.61</v>
      </c>
    </row>
    <row r="61" spans="1:8" x14ac:dyDescent="0.25">
      <c r="A61" s="325">
        <v>499</v>
      </c>
      <c r="B61" s="325">
        <v>75911</v>
      </c>
      <c r="C61" s="256" t="s">
        <v>282</v>
      </c>
      <c r="D61" s="273" t="s">
        <v>287</v>
      </c>
      <c r="E61" s="256" t="s">
        <v>84</v>
      </c>
      <c r="F61" s="399">
        <v>1332196</v>
      </c>
      <c r="G61" s="275">
        <v>952728.30075480277</v>
      </c>
      <c r="H61" s="275">
        <v>641735.94000000006</v>
      </c>
    </row>
    <row r="62" spans="1:8" x14ac:dyDescent="0.25">
      <c r="A62" s="325">
        <v>499</v>
      </c>
      <c r="B62" s="325">
        <v>75911</v>
      </c>
      <c r="C62" s="256" t="s">
        <v>282</v>
      </c>
      <c r="D62" s="273" t="s">
        <v>288</v>
      </c>
      <c r="E62" s="256" t="s">
        <v>61</v>
      </c>
      <c r="F62" s="399">
        <v>12669953</v>
      </c>
      <c r="G62" s="275">
        <v>9790930.290000001</v>
      </c>
      <c r="H62" s="275">
        <v>5074915.32</v>
      </c>
    </row>
    <row r="63" spans="1:8" x14ac:dyDescent="0.25">
      <c r="A63" s="325">
        <v>499</v>
      </c>
      <c r="B63" s="325">
        <v>75911</v>
      </c>
      <c r="C63" s="256" t="s">
        <v>282</v>
      </c>
      <c r="D63" s="273" t="s">
        <v>289</v>
      </c>
      <c r="E63" s="256" t="s">
        <v>94</v>
      </c>
      <c r="F63" s="399">
        <v>4686146</v>
      </c>
      <c r="G63" s="275">
        <v>4979985.1900000013</v>
      </c>
      <c r="H63" s="275">
        <v>2716976.9400000004</v>
      </c>
    </row>
    <row r="64" spans="1:8" x14ac:dyDescent="0.25">
      <c r="A64" s="325">
        <v>499</v>
      </c>
      <c r="B64" s="325">
        <v>75911</v>
      </c>
      <c r="C64" s="256" t="s">
        <v>282</v>
      </c>
      <c r="D64" s="273" t="s">
        <v>290</v>
      </c>
      <c r="E64" s="256" t="s">
        <v>291</v>
      </c>
      <c r="F64" s="399">
        <v>50000</v>
      </c>
      <c r="G64" s="275">
        <v>41478.339999999997</v>
      </c>
      <c r="H64" s="275">
        <v>11821.349999999999</v>
      </c>
    </row>
    <row r="65" spans="1:8" x14ac:dyDescent="0.25">
      <c r="A65" s="325">
        <v>499</v>
      </c>
      <c r="B65" s="325">
        <v>75911</v>
      </c>
      <c r="C65" s="256" t="s">
        <v>282</v>
      </c>
      <c r="D65" s="273" t="s">
        <v>292</v>
      </c>
      <c r="E65" s="256" t="s">
        <v>53</v>
      </c>
      <c r="F65" s="399">
        <v>13402536.768622689</v>
      </c>
      <c r="G65" s="275">
        <v>19982261.028172135</v>
      </c>
      <c r="H65" s="275">
        <v>12719495.07</v>
      </c>
    </row>
    <row r="66" spans="1:8" x14ac:dyDescent="0.25">
      <c r="A66" s="325">
        <v>499</v>
      </c>
      <c r="B66" s="325">
        <v>75911</v>
      </c>
      <c r="C66" s="256" t="s">
        <v>282</v>
      </c>
      <c r="D66" s="273" t="s">
        <v>293</v>
      </c>
      <c r="E66" s="256" t="s">
        <v>90</v>
      </c>
      <c r="F66" s="399">
        <v>1905330.4777485845</v>
      </c>
      <c r="G66" s="275">
        <v>3225468.1653709263</v>
      </c>
      <c r="H66" s="275">
        <v>2188213.89</v>
      </c>
    </row>
    <row r="67" spans="1:8" x14ac:dyDescent="0.25">
      <c r="A67" s="325">
        <v>499</v>
      </c>
      <c r="B67" s="325">
        <v>75911</v>
      </c>
      <c r="C67" s="256" t="s">
        <v>282</v>
      </c>
      <c r="D67" s="273" t="s">
        <v>294</v>
      </c>
      <c r="E67" s="256" t="s">
        <v>67</v>
      </c>
      <c r="F67" s="399">
        <v>2795623.2464551372</v>
      </c>
      <c r="G67" s="275">
        <v>2732742.8881414291</v>
      </c>
      <c r="H67" s="275">
        <v>2394679.0100000002</v>
      </c>
    </row>
    <row r="68" spans="1:8" ht="25.5" x14ac:dyDescent="0.25">
      <c r="A68" s="325">
        <v>499</v>
      </c>
      <c r="B68" s="325">
        <v>75911</v>
      </c>
      <c r="C68" s="256" t="s">
        <v>282</v>
      </c>
      <c r="D68" s="273" t="s">
        <v>295</v>
      </c>
      <c r="E68" s="256" t="s">
        <v>100</v>
      </c>
      <c r="F68" s="399">
        <v>435778.2781883899</v>
      </c>
      <c r="G68" s="275">
        <v>481386.44865800627</v>
      </c>
      <c r="H68" s="275">
        <v>291359.12</v>
      </c>
    </row>
    <row r="69" spans="1:8" x14ac:dyDescent="0.25">
      <c r="A69" s="325">
        <v>499</v>
      </c>
      <c r="B69" s="325">
        <v>75911</v>
      </c>
      <c r="C69" s="256" t="s">
        <v>282</v>
      </c>
      <c r="D69" s="273" t="s">
        <v>296</v>
      </c>
      <c r="E69" s="256" t="s">
        <v>72</v>
      </c>
      <c r="F69" s="399">
        <v>457455.83</v>
      </c>
      <c r="G69" s="275">
        <v>487766.5</v>
      </c>
      <c r="H69" s="275">
        <v>330289.86</v>
      </c>
    </row>
    <row r="70" spans="1:8" x14ac:dyDescent="0.25">
      <c r="A70" s="325">
        <v>499</v>
      </c>
      <c r="B70" s="325">
        <v>75911</v>
      </c>
      <c r="C70" s="256" t="s">
        <v>282</v>
      </c>
      <c r="D70" s="273" t="s">
        <v>297</v>
      </c>
      <c r="E70" s="256" t="s">
        <v>105</v>
      </c>
      <c r="F70" s="399">
        <v>23576.089999999993</v>
      </c>
      <c r="G70" s="275">
        <v>25597.686666666676</v>
      </c>
      <c r="H70" s="275">
        <v>19201.850000000006</v>
      </c>
    </row>
    <row r="71" spans="1:8" x14ac:dyDescent="0.25">
      <c r="A71" s="325">
        <v>499</v>
      </c>
      <c r="B71" s="325">
        <v>75911</v>
      </c>
      <c r="C71" s="256" t="s">
        <v>282</v>
      </c>
      <c r="D71" s="343" t="s">
        <v>298</v>
      </c>
      <c r="E71" s="263" t="s">
        <v>299</v>
      </c>
      <c r="F71" s="399">
        <v>0</v>
      </c>
      <c r="G71" s="279">
        <v>0</v>
      </c>
      <c r="H71" s="279">
        <v>0</v>
      </c>
    </row>
    <row r="72" spans="1:8" x14ac:dyDescent="0.25">
      <c r="A72" s="325">
        <v>499</v>
      </c>
      <c r="B72" s="325">
        <v>75911</v>
      </c>
      <c r="C72" s="256" t="s">
        <v>282</v>
      </c>
      <c r="D72" s="343" t="s">
        <v>300</v>
      </c>
      <c r="E72" s="263" t="s">
        <v>301</v>
      </c>
      <c r="F72" s="399">
        <v>0</v>
      </c>
      <c r="G72" s="279">
        <v>0</v>
      </c>
      <c r="H72" s="279">
        <v>0</v>
      </c>
    </row>
    <row r="73" spans="1:8" ht="25.5" x14ac:dyDescent="0.25">
      <c r="A73" s="325">
        <v>499</v>
      </c>
      <c r="B73" s="325">
        <v>75911</v>
      </c>
      <c r="C73" s="256" t="s">
        <v>282</v>
      </c>
      <c r="D73" s="343" t="s">
        <v>302</v>
      </c>
      <c r="E73" s="263" t="s">
        <v>303</v>
      </c>
      <c r="F73" s="399">
        <v>0</v>
      </c>
      <c r="G73" s="279">
        <v>0</v>
      </c>
      <c r="H73" s="279">
        <v>0</v>
      </c>
    </row>
    <row r="74" spans="1:8" x14ac:dyDescent="0.25">
      <c r="A74" s="325">
        <v>499</v>
      </c>
      <c r="B74" s="325">
        <v>75911</v>
      </c>
      <c r="C74" s="256" t="s">
        <v>282</v>
      </c>
      <c r="D74" s="343" t="s">
        <v>304</v>
      </c>
      <c r="E74" s="263" t="s">
        <v>305</v>
      </c>
      <c r="F74" s="399">
        <v>0</v>
      </c>
      <c r="G74" s="279">
        <v>0</v>
      </c>
      <c r="H74" s="279">
        <v>0</v>
      </c>
    </row>
    <row r="75" spans="1:8" x14ac:dyDescent="0.25">
      <c r="A75" s="257">
        <v>499</v>
      </c>
      <c r="B75" s="257">
        <v>75911</v>
      </c>
      <c r="C75" s="259" t="s">
        <v>282</v>
      </c>
      <c r="D75" s="266" t="s">
        <v>259</v>
      </c>
      <c r="E75" s="259"/>
      <c r="F75" s="401">
        <v>72976990.611967638</v>
      </c>
      <c r="G75" s="274">
        <v>75199889.463096783</v>
      </c>
      <c r="H75" s="318">
        <v>43661280.870000005</v>
      </c>
    </row>
    <row r="76" spans="1:8" x14ac:dyDescent="0.25">
      <c r="A76" s="325">
        <v>499</v>
      </c>
      <c r="B76" s="325">
        <v>75913</v>
      </c>
      <c r="C76" s="256" t="s">
        <v>306</v>
      </c>
      <c r="D76" s="273" t="s">
        <v>307</v>
      </c>
      <c r="E76" s="256" t="s">
        <v>69</v>
      </c>
      <c r="F76" s="399">
        <v>1131656.92</v>
      </c>
      <c r="G76" s="275">
        <v>795104.29</v>
      </c>
      <c r="H76" s="275">
        <v>420614.40000000002</v>
      </c>
    </row>
    <row r="77" spans="1:8" x14ac:dyDescent="0.25">
      <c r="A77" s="325">
        <v>499</v>
      </c>
      <c r="B77" s="325">
        <v>75913</v>
      </c>
      <c r="C77" s="256" t="s">
        <v>306</v>
      </c>
      <c r="D77" s="273" t="s">
        <v>308</v>
      </c>
      <c r="E77" s="256" t="s">
        <v>102</v>
      </c>
      <c r="F77" s="399">
        <v>568342.6399999999</v>
      </c>
      <c r="G77" s="275">
        <v>398363.07999999996</v>
      </c>
      <c r="H77" s="275">
        <v>211254.39999999999</v>
      </c>
    </row>
    <row r="78" spans="1:8" x14ac:dyDescent="0.25">
      <c r="A78" s="325">
        <v>499</v>
      </c>
      <c r="B78" s="325">
        <v>75913</v>
      </c>
      <c r="C78" s="256" t="s">
        <v>306</v>
      </c>
      <c r="D78" s="329" t="s">
        <v>309</v>
      </c>
      <c r="E78" s="256" t="s">
        <v>310</v>
      </c>
      <c r="F78" s="399">
        <v>40000.350000000006</v>
      </c>
      <c r="G78" s="275">
        <v>45904.53</v>
      </c>
      <c r="H78" s="275">
        <v>23583.699999999997</v>
      </c>
    </row>
    <row r="79" spans="1:8" x14ac:dyDescent="0.25">
      <c r="A79" s="325">
        <v>499</v>
      </c>
      <c r="B79" s="325">
        <v>75913</v>
      </c>
      <c r="C79" s="256" t="s">
        <v>306</v>
      </c>
      <c r="D79" s="329" t="s">
        <v>311</v>
      </c>
      <c r="E79" s="256" t="s">
        <v>312</v>
      </c>
      <c r="F79" s="405">
        <v>369999.99999999994</v>
      </c>
      <c r="G79" s="275">
        <v>357443.57000000007</v>
      </c>
      <c r="H79" s="275">
        <v>125417.80000000002</v>
      </c>
    </row>
    <row r="80" spans="1:8" ht="25.5" x14ac:dyDescent="0.25">
      <c r="A80" s="325">
        <v>499</v>
      </c>
      <c r="B80" s="325">
        <v>75913</v>
      </c>
      <c r="C80" s="256" t="s">
        <v>306</v>
      </c>
      <c r="D80" s="323" t="s">
        <v>313</v>
      </c>
      <c r="E80" s="256" t="s">
        <v>314</v>
      </c>
      <c r="F80" s="405">
        <v>0</v>
      </c>
      <c r="G80" s="255"/>
      <c r="H80" s="255">
        <v>0</v>
      </c>
    </row>
    <row r="81" spans="1:8" x14ac:dyDescent="0.25">
      <c r="A81" s="331">
        <v>499</v>
      </c>
      <c r="B81" s="331">
        <v>75913</v>
      </c>
      <c r="C81" s="330" t="s">
        <v>306</v>
      </c>
      <c r="D81" s="273" t="s">
        <v>315</v>
      </c>
      <c r="E81" s="256" t="s">
        <v>316</v>
      </c>
      <c r="F81" s="404">
        <v>0</v>
      </c>
      <c r="G81" s="273">
        <v>0</v>
      </c>
      <c r="H81" s="272">
        <v>-3761.5</v>
      </c>
    </row>
    <row r="82" spans="1:8" x14ac:dyDescent="0.25">
      <c r="A82" s="257">
        <v>499</v>
      </c>
      <c r="B82" s="257">
        <v>75913</v>
      </c>
      <c r="C82" s="259" t="s">
        <v>306</v>
      </c>
      <c r="D82" s="266" t="s">
        <v>259</v>
      </c>
      <c r="E82" s="259"/>
      <c r="F82" s="398">
        <v>2109999.9099999997</v>
      </c>
      <c r="G82" s="324">
        <v>1596815.4700000002</v>
      </c>
      <c r="H82" s="318">
        <v>777108.8</v>
      </c>
    </row>
    <row r="83" spans="1:8" x14ac:dyDescent="0.25">
      <c r="A83" s="334">
        <v>499</v>
      </c>
      <c r="B83" s="335"/>
      <c r="C83" s="260" t="s">
        <v>260</v>
      </c>
      <c r="D83" s="336" t="s">
        <v>259</v>
      </c>
      <c r="E83" s="260"/>
      <c r="F83" s="402">
        <v>0</v>
      </c>
      <c r="G83" s="276">
        <v>0</v>
      </c>
      <c r="H83" s="276">
        <v>0</v>
      </c>
    </row>
    <row r="84" spans="1:8" x14ac:dyDescent="0.25">
      <c r="A84" s="337">
        <v>499</v>
      </c>
      <c r="B84" s="338">
        <v>69450</v>
      </c>
      <c r="C84" s="261" t="s">
        <v>317</v>
      </c>
      <c r="D84" s="339" t="s">
        <v>259</v>
      </c>
      <c r="E84" s="261"/>
      <c r="F84" s="403">
        <v>5815042.7085480001</v>
      </c>
      <c r="G84" s="277">
        <v>4525544.3199999994</v>
      </c>
      <c r="H84" s="277">
        <v>3625569.3199999994</v>
      </c>
    </row>
    <row r="85" spans="1:8" x14ac:dyDescent="0.25">
      <c r="A85" s="340">
        <v>499</v>
      </c>
      <c r="B85" s="341" t="s">
        <v>262</v>
      </c>
      <c r="C85" s="315" t="s">
        <v>318</v>
      </c>
      <c r="D85" s="342" t="s">
        <v>259</v>
      </c>
      <c r="E85" s="262"/>
      <c r="F85" s="406">
        <v>241948217.04528579</v>
      </c>
      <c r="G85" s="278">
        <v>232416802.79309678</v>
      </c>
      <c r="H85" s="278">
        <v>130832068.56999999</v>
      </c>
    </row>
    <row r="86" spans="1:8" ht="15.75" x14ac:dyDescent="0.25">
      <c r="A86" s="264"/>
      <c r="B86" s="344" t="s">
        <v>262</v>
      </c>
      <c r="C86" s="264" t="s">
        <v>319</v>
      </c>
      <c r="D86" s="264" t="s">
        <v>259</v>
      </c>
      <c r="E86" s="264"/>
      <c r="F86" s="407">
        <v>399212003.51068735</v>
      </c>
      <c r="G86" s="280">
        <v>397634622.13918418</v>
      </c>
      <c r="H86" s="280">
        <v>242365919.99222896</v>
      </c>
    </row>
    <row r="87" spans="1:8" x14ac:dyDescent="0.25">
      <c r="A87" s="325">
        <v>500</v>
      </c>
      <c r="B87" s="325">
        <v>56017</v>
      </c>
      <c r="C87" s="256" t="s">
        <v>320</v>
      </c>
      <c r="D87" s="273" t="s">
        <v>321</v>
      </c>
      <c r="E87" s="256" t="s">
        <v>322</v>
      </c>
      <c r="F87" s="404">
        <v>2919680</v>
      </c>
      <c r="G87" s="271">
        <v>2919679.5</v>
      </c>
      <c r="H87" s="272">
        <v>2919679.5</v>
      </c>
    </row>
    <row r="88" spans="1:8" x14ac:dyDescent="0.25">
      <c r="A88" s="325">
        <v>500</v>
      </c>
      <c r="B88" s="325">
        <v>56017</v>
      </c>
      <c r="C88" s="256" t="s">
        <v>320</v>
      </c>
      <c r="D88" s="273" t="s">
        <v>323</v>
      </c>
      <c r="E88" s="256" t="s">
        <v>324</v>
      </c>
      <c r="F88" s="404">
        <v>5000000</v>
      </c>
      <c r="G88" s="271">
        <v>4794551.2924999995</v>
      </c>
      <c r="H88" s="272">
        <v>3739743.5999999996</v>
      </c>
    </row>
    <row r="89" spans="1:8" x14ac:dyDescent="0.25">
      <c r="A89" s="325">
        <v>500</v>
      </c>
      <c r="B89" s="325">
        <v>56017</v>
      </c>
      <c r="C89" s="256" t="s">
        <v>320</v>
      </c>
      <c r="D89" s="273" t="s">
        <v>325</v>
      </c>
      <c r="E89" s="256" t="s">
        <v>326</v>
      </c>
      <c r="F89" s="404">
        <v>525834</v>
      </c>
      <c r="G89" s="271">
        <v>525834</v>
      </c>
      <c r="H89" s="279">
        <v>0</v>
      </c>
    </row>
    <row r="90" spans="1:8" x14ac:dyDescent="0.25">
      <c r="A90" s="257">
        <v>500</v>
      </c>
      <c r="B90" s="257">
        <v>56017</v>
      </c>
      <c r="C90" s="259" t="s">
        <v>320</v>
      </c>
      <c r="D90" s="266" t="s">
        <v>259</v>
      </c>
      <c r="E90" s="259"/>
      <c r="F90" s="401">
        <v>8445514</v>
      </c>
      <c r="G90" s="274">
        <v>8240064.7925000004</v>
      </c>
      <c r="H90" s="318">
        <v>6659423.1000000006</v>
      </c>
    </row>
    <row r="91" spans="1:8" x14ac:dyDescent="0.25">
      <c r="A91" s="257">
        <v>500</v>
      </c>
      <c r="B91" s="257">
        <v>56017</v>
      </c>
      <c r="C91" s="259" t="s">
        <v>327</v>
      </c>
      <c r="D91" s="266" t="s">
        <v>328</v>
      </c>
      <c r="E91" s="265" t="s">
        <v>329</v>
      </c>
      <c r="F91" s="401">
        <v>2501571</v>
      </c>
      <c r="G91" s="274">
        <v>2356080.5499999998</v>
      </c>
      <c r="H91" s="318">
        <v>2144313.42</v>
      </c>
    </row>
    <row r="92" spans="1:8" x14ac:dyDescent="0.25">
      <c r="A92" s="257">
        <v>500</v>
      </c>
      <c r="B92" s="257">
        <v>56017</v>
      </c>
      <c r="C92" s="259" t="s">
        <v>330</v>
      </c>
      <c r="D92" s="266" t="s">
        <v>331</v>
      </c>
      <c r="E92" s="265" t="s">
        <v>332</v>
      </c>
      <c r="F92" s="401">
        <v>275000.00000000006</v>
      </c>
      <c r="G92" s="274">
        <v>255238.78000000003</v>
      </c>
      <c r="H92" s="318">
        <v>203350.43000000002</v>
      </c>
    </row>
    <row r="93" spans="1:8" x14ac:dyDescent="0.25">
      <c r="A93" s="325">
        <v>500</v>
      </c>
      <c r="B93" s="325">
        <v>56017</v>
      </c>
      <c r="C93" s="256" t="s">
        <v>333</v>
      </c>
      <c r="D93" s="273" t="s">
        <v>334</v>
      </c>
      <c r="E93" s="256" t="s">
        <v>335</v>
      </c>
      <c r="F93" s="404">
        <v>8343676.3999999985</v>
      </c>
      <c r="G93" s="271">
        <v>6660575.1000000006</v>
      </c>
      <c r="H93" s="275">
        <v>4059653.7600000007</v>
      </c>
    </row>
    <row r="94" spans="1:8" ht="25.5" x14ac:dyDescent="0.25">
      <c r="A94" s="325">
        <v>500</v>
      </c>
      <c r="B94" s="325">
        <v>56017</v>
      </c>
      <c r="C94" s="256" t="s">
        <v>336</v>
      </c>
      <c r="D94" s="273" t="s">
        <v>337</v>
      </c>
      <c r="E94" s="256" t="s">
        <v>338</v>
      </c>
      <c r="F94" s="404">
        <v>1973059.9600000002</v>
      </c>
      <c r="G94" s="271">
        <v>991990.53</v>
      </c>
      <c r="H94" s="275">
        <v>280699.89999999997</v>
      </c>
    </row>
    <row r="95" spans="1:8" ht="25.5" x14ac:dyDescent="0.25">
      <c r="A95" s="325">
        <v>500</v>
      </c>
      <c r="B95" s="325">
        <v>56017</v>
      </c>
      <c r="C95" s="256" t="s">
        <v>336</v>
      </c>
      <c r="D95" s="273" t="s">
        <v>339</v>
      </c>
      <c r="E95" s="256" t="s">
        <v>338</v>
      </c>
      <c r="F95" s="404">
        <v>0</v>
      </c>
      <c r="G95" s="273">
        <v>0</v>
      </c>
      <c r="H95" s="255">
        <v>0</v>
      </c>
    </row>
    <row r="96" spans="1:8" ht="25.5" x14ac:dyDescent="0.25">
      <c r="A96" s="257">
        <v>500</v>
      </c>
      <c r="B96" s="257">
        <v>56017</v>
      </c>
      <c r="C96" s="259" t="s">
        <v>333</v>
      </c>
      <c r="D96" s="266" t="s">
        <v>259</v>
      </c>
      <c r="E96" s="266" t="s">
        <v>183</v>
      </c>
      <c r="F96" s="401">
        <v>10316736.359999999</v>
      </c>
      <c r="G96" s="274">
        <v>7652565.6299999999</v>
      </c>
      <c r="H96" s="318">
        <v>4340353.66</v>
      </c>
    </row>
    <row r="97" spans="1:8" x14ac:dyDescent="0.25">
      <c r="A97" s="325">
        <v>500</v>
      </c>
      <c r="B97" s="325">
        <v>56017</v>
      </c>
      <c r="C97" s="256" t="s">
        <v>340</v>
      </c>
      <c r="D97" s="273" t="s">
        <v>341</v>
      </c>
      <c r="E97" s="256" t="s">
        <v>342</v>
      </c>
      <c r="F97" s="404">
        <v>60000</v>
      </c>
      <c r="G97" s="271">
        <v>22459.160000000003</v>
      </c>
      <c r="H97" s="275">
        <v>7459.1600000000017</v>
      </c>
    </row>
    <row r="98" spans="1:8" ht="25.5" x14ac:dyDescent="0.25">
      <c r="A98" s="331">
        <v>500</v>
      </c>
      <c r="B98" s="331">
        <v>56017</v>
      </c>
      <c r="C98" s="330" t="s">
        <v>340</v>
      </c>
      <c r="D98" s="329" t="s">
        <v>343</v>
      </c>
      <c r="E98" s="330" t="s">
        <v>344</v>
      </c>
      <c r="F98" s="405">
        <v>60000</v>
      </c>
      <c r="G98" s="354">
        <v>41848.770000000004</v>
      </c>
      <c r="H98" s="275">
        <v>26848.770000000004</v>
      </c>
    </row>
    <row r="99" spans="1:8" x14ac:dyDescent="0.25">
      <c r="A99" s="325">
        <v>500</v>
      </c>
      <c r="B99" s="325">
        <v>56017</v>
      </c>
      <c r="C99" s="256" t="s">
        <v>345</v>
      </c>
      <c r="D99" s="273" t="s">
        <v>346</v>
      </c>
      <c r="E99" s="256" t="s">
        <v>347</v>
      </c>
      <c r="F99" s="404">
        <v>240000</v>
      </c>
      <c r="G99" s="271">
        <v>249302.30750000104</v>
      </c>
      <c r="H99" s="275">
        <v>182361.5</v>
      </c>
    </row>
    <row r="100" spans="1:8" x14ac:dyDescent="0.25">
      <c r="A100" s="325">
        <v>500</v>
      </c>
      <c r="B100" s="325">
        <v>56017</v>
      </c>
      <c r="C100" s="256" t="s">
        <v>348</v>
      </c>
      <c r="D100" s="273" t="s">
        <v>349</v>
      </c>
      <c r="E100" s="256" t="s">
        <v>348</v>
      </c>
      <c r="F100" s="404">
        <v>0</v>
      </c>
      <c r="G100" s="273">
        <v>0</v>
      </c>
      <c r="H100" s="255">
        <v>0</v>
      </c>
    </row>
    <row r="101" spans="1:8" x14ac:dyDescent="0.25">
      <c r="A101" s="257">
        <v>500</v>
      </c>
      <c r="B101" s="257">
        <v>56017</v>
      </c>
      <c r="C101" s="259" t="s">
        <v>350</v>
      </c>
      <c r="D101" s="266" t="s">
        <v>259</v>
      </c>
      <c r="E101" s="266" t="s">
        <v>351</v>
      </c>
      <c r="F101" s="401">
        <v>360000</v>
      </c>
      <c r="G101" s="274">
        <v>313610.23750000104</v>
      </c>
      <c r="H101" s="318">
        <v>216669.43</v>
      </c>
    </row>
    <row r="102" spans="1:8" x14ac:dyDescent="0.25">
      <c r="A102" s="334">
        <v>500</v>
      </c>
      <c r="B102" s="335"/>
      <c r="C102" s="260" t="s">
        <v>260</v>
      </c>
      <c r="D102" s="336" t="s">
        <v>259</v>
      </c>
      <c r="E102" s="260"/>
      <c r="F102" s="402">
        <v>0</v>
      </c>
      <c r="G102" s="276">
        <v>0</v>
      </c>
      <c r="H102" s="276">
        <v>0</v>
      </c>
    </row>
    <row r="103" spans="1:8" x14ac:dyDescent="0.25">
      <c r="A103" s="337">
        <v>500</v>
      </c>
      <c r="B103" s="338">
        <v>69450</v>
      </c>
      <c r="C103" s="261" t="s">
        <v>352</v>
      </c>
      <c r="D103" s="339" t="s">
        <v>259</v>
      </c>
      <c r="E103" s="261"/>
      <c r="F103" s="403">
        <v>2078084.1387730001</v>
      </c>
      <c r="G103" s="277">
        <v>1727031.0614822423</v>
      </c>
      <c r="H103" s="277">
        <v>1286113.81</v>
      </c>
    </row>
    <row r="104" spans="1:8" x14ac:dyDescent="0.25">
      <c r="A104" s="340">
        <v>500</v>
      </c>
      <c r="B104" s="341" t="s">
        <v>262</v>
      </c>
      <c r="C104" s="315" t="s">
        <v>353</v>
      </c>
      <c r="D104" s="342" t="s">
        <v>259</v>
      </c>
      <c r="E104" s="262"/>
      <c r="F104" s="406">
        <v>23976905.498772997</v>
      </c>
      <c r="G104" s="278">
        <v>20544591.051482242</v>
      </c>
      <c r="H104" s="278">
        <v>14850223.85</v>
      </c>
    </row>
    <row r="105" spans="1:8" x14ac:dyDescent="0.25">
      <c r="A105" s="325">
        <v>522</v>
      </c>
      <c r="B105" s="325">
        <v>56017</v>
      </c>
      <c r="C105" s="256" t="s">
        <v>354</v>
      </c>
      <c r="D105" s="273" t="s">
        <v>355</v>
      </c>
      <c r="E105" s="256" t="s">
        <v>356</v>
      </c>
      <c r="F105" s="404">
        <v>1288610</v>
      </c>
      <c r="G105" s="271">
        <v>1111910.0550000002</v>
      </c>
      <c r="H105" s="275">
        <v>521821</v>
      </c>
    </row>
    <row r="106" spans="1:8" x14ac:dyDescent="0.25">
      <c r="A106" s="325">
        <v>522</v>
      </c>
      <c r="B106" s="325">
        <v>56017</v>
      </c>
      <c r="C106" s="256" t="s">
        <v>354</v>
      </c>
      <c r="D106" s="273" t="s">
        <v>357</v>
      </c>
      <c r="E106" s="256" t="s">
        <v>358</v>
      </c>
      <c r="F106" s="404">
        <v>1111390.0000000002</v>
      </c>
      <c r="G106" s="271">
        <v>1427445.3200000003</v>
      </c>
      <c r="H106" s="275">
        <v>1099050.6300000001</v>
      </c>
    </row>
    <row r="107" spans="1:8" x14ac:dyDescent="0.25">
      <c r="A107" s="325">
        <v>522</v>
      </c>
      <c r="B107" s="325">
        <v>56017</v>
      </c>
      <c r="C107" s="256" t="s">
        <v>354</v>
      </c>
      <c r="D107" s="273" t="s">
        <v>359</v>
      </c>
      <c r="E107" s="256" t="s">
        <v>360</v>
      </c>
      <c r="F107" s="404">
        <v>300000</v>
      </c>
      <c r="G107" s="271">
        <v>302736.87666666665</v>
      </c>
      <c r="H107" s="275">
        <v>78470.680000000008</v>
      </c>
    </row>
    <row r="108" spans="1:8" x14ac:dyDescent="0.25">
      <c r="A108" s="257">
        <v>522</v>
      </c>
      <c r="B108" s="257">
        <v>56017</v>
      </c>
      <c r="C108" s="259" t="s">
        <v>354</v>
      </c>
      <c r="D108" s="266" t="s">
        <v>259</v>
      </c>
      <c r="E108" s="259"/>
      <c r="F108" s="401">
        <v>2700000</v>
      </c>
      <c r="G108" s="274">
        <v>2842092.2516666665</v>
      </c>
      <c r="H108" s="318">
        <v>1699342.3099999998</v>
      </c>
    </row>
    <row r="109" spans="1:8" x14ac:dyDescent="0.25">
      <c r="A109" s="325">
        <v>522</v>
      </c>
      <c r="B109" s="325">
        <v>56017</v>
      </c>
      <c r="C109" s="256" t="s">
        <v>361</v>
      </c>
      <c r="D109" s="273" t="s">
        <v>362</v>
      </c>
      <c r="E109" s="256" t="s">
        <v>363</v>
      </c>
      <c r="F109" s="404">
        <v>2275729.98</v>
      </c>
      <c r="G109" s="271">
        <v>2256657.6253846157</v>
      </c>
      <c r="H109" s="275">
        <v>1357214.27</v>
      </c>
    </row>
    <row r="110" spans="1:8" x14ac:dyDescent="0.25">
      <c r="A110" s="325">
        <v>522</v>
      </c>
      <c r="B110" s="325">
        <v>56017</v>
      </c>
      <c r="C110" s="256" t="s">
        <v>361</v>
      </c>
      <c r="D110" s="273" t="s">
        <v>364</v>
      </c>
      <c r="E110" s="256" t="s">
        <v>365</v>
      </c>
      <c r="F110" s="404">
        <v>5164730.5</v>
      </c>
      <c r="G110" s="271">
        <v>5247954.1399999997</v>
      </c>
      <c r="H110" s="275">
        <v>3448717.9200000004</v>
      </c>
    </row>
    <row r="111" spans="1:8" x14ac:dyDescent="0.25">
      <c r="A111" s="325">
        <v>522</v>
      </c>
      <c r="B111" s="325">
        <v>56017</v>
      </c>
      <c r="C111" s="256" t="s">
        <v>361</v>
      </c>
      <c r="D111" s="273" t="s">
        <v>366</v>
      </c>
      <c r="E111" s="256" t="s">
        <v>367</v>
      </c>
      <c r="F111" s="404">
        <v>131244</v>
      </c>
      <c r="G111" s="271">
        <v>129196.11</v>
      </c>
      <c r="H111" s="275">
        <v>83743.16</v>
      </c>
    </row>
    <row r="112" spans="1:8" x14ac:dyDescent="0.25">
      <c r="A112" s="257">
        <v>522</v>
      </c>
      <c r="B112" s="257">
        <v>56017</v>
      </c>
      <c r="C112" s="259" t="s">
        <v>361</v>
      </c>
      <c r="D112" s="266" t="s">
        <v>259</v>
      </c>
      <c r="E112" s="265"/>
      <c r="F112" s="401">
        <v>7571704.4799999986</v>
      </c>
      <c r="G112" s="274">
        <v>7633807.8753846148</v>
      </c>
      <c r="H112" s="318">
        <v>4889675.3499999996</v>
      </c>
    </row>
    <row r="113" spans="1:8" x14ac:dyDescent="0.25">
      <c r="A113" s="325">
        <v>522</v>
      </c>
      <c r="B113" s="325">
        <v>56017</v>
      </c>
      <c r="C113" s="256" t="s">
        <v>368</v>
      </c>
      <c r="D113" s="273" t="s">
        <v>359</v>
      </c>
      <c r="E113" s="256" t="s">
        <v>369</v>
      </c>
      <c r="F113" s="404">
        <v>0</v>
      </c>
      <c r="G113" s="273">
        <v>0</v>
      </c>
      <c r="H113" s="255">
        <v>0</v>
      </c>
    </row>
    <row r="114" spans="1:8" x14ac:dyDescent="0.25">
      <c r="A114" s="325">
        <v>522</v>
      </c>
      <c r="B114" s="325">
        <v>56017</v>
      </c>
      <c r="C114" s="256" t="s">
        <v>368</v>
      </c>
      <c r="D114" s="273"/>
      <c r="E114" s="256"/>
      <c r="F114" s="404">
        <v>0</v>
      </c>
      <c r="G114" s="273">
        <v>0</v>
      </c>
      <c r="H114" s="255">
        <v>0</v>
      </c>
    </row>
    <row r="115" spans="1:8" x14ac:dyDescent="0.25">
      <c r="A115" s="257">
        <v>522</v>
      </c>
      <c r="B115" s="257">
        <v>56017</v>
      </c>
      <c r="C115" s="259" t="s">
        <v>370</v>
      </c>
      <c r="D115" s="266" t="s">
        <v>259</v>
      </c>
      <c r="E115" s="265"/>
      <c r="F115" s="401">
        <v>0</v>
      </c>
      <c r="G115" s="265">
        <v>0</v>
      </c>
      <c r="H115" s="319">
        <v>0</v>
      </c>
    </row>
    <row r="116" spans="1:8" x14ac:dyDescent="0.25">
      <c r="A116" s="325">
        <v>522</v>
      </c>
      <c r="B116" s="325">
        <v>56017</v>
      </c>
      <c r="C116" s="256" t="s">
        <v>371</v>
      </c>
      <c r="D116" s="273" t="s">
        <v>372</v>
      </c>
      <c r="E116" s="256" t="s">
        <v>373</v>
      </c>
      <c r="F116" s="404">
        <v>340000</v>
      </c>
      <c r="G116" s="271">
        <v>2968465.3420296819</v>
      </c>
      <c r="H116" s="275">
        <v>52036.77</v>
      </c>
    </row>
    <row r="117" spans="1:8" x14ac:dyDescent="0.25">
      <c r="A117" s="325">
        <v>522</v>
      </c>
      <c r="B117" s="325">
        <v>56017</v>
      </c>
      <c r="C117" s="256" t="s">
        <v>371</v>
      </c>
      <c r="D117" s="345" t="s">
        <v>374</v>
      </c>
      <c r="E117" s="256" t="s">
        <v>375</v>
      </c>
      <c r="F117" s="404">
        <v>72000</v>
      </c>
      <c r="G117" s="271">
        <v>23520.579999999998</v>
      </c>
      <c r="H117" s="275">
        <v>22020.579999999998</v>
      </c>
    </row>
    <row r="118" spans="1:8" x14ac:dyDescent="0.25">
      <c r="A118" s="325">
        <v>522</v>
      </c>
      <c r="B118" s="325">
        <v>56017</v>
      </c>
      <c r="C118" s="256" t="s">
        <v>371</v>
      </c>
      <c r="D118" s="343" t="s">
        <v>376</v>
      </c>
      <c r="E118" s="263" t="s">
        <v>637</v>
      </c>
      <c r="F118" s="404">
        <v>0</v>
      </c>
      <c r="G118" s="271">
        <v>0</v>
      </c>
      <c r="H118" s="255">
        <v>0</v>
      </c>
    </row>
    <row r="119" spans="1:8" x14ac:dyDescent="0.25">
      <c r="A119" s="257">
        <v>522</v>
      </c>
      <c r="B119" s="257">
        <v>56017</v>
      </c>
      <c r="C119" s="259" t="s">
        <v>377</v>
      </c>
      <c r="D119" s="266" t="s">
        <v>259</v>
      </c>
      <c r="E119" s="266" t="s">
        <v>378</v>
      </c>
      <c r="F119" s="401">
        <v>412000</v>
      </c>
      <c r="G119" s="274">
        <v>2991985.922029682</v>
      </c>
      <c r="H119" s="318">
        <v>74057.350000000006</v>
      </c>
    </row>
    <row r="120" spans="1:8" x14ac:dyDescent="0.25">
      <c r="A120" s="325">
        <v>522</v>
      </c>
      <c r="B120" s="325">
        <v>56017</v>
      </c>
      <c r="C120" s="256" t="s">
        <v>379</v>
      </c>
      <c r="D120" s="273" t="s">
        <v>380</v>
      </c>
      <c r="E120" s="256" t="s">
        <v>381</v>
      </c>
      <c r="F120" s="404">
        <v>335617</v>
      </c>
      <c r="G120" s="271">
        <v>360026.06</v>
      </c>
      <c r="H120" s="272">
        <v>262664.67</v>
      </c>
    </row>
    <row r="121" spans="1:8" ht="25.5" x14ac:dyDescent="0.25">
      <c r="A121" s="257">
        <v>522</v>
      </c>
      <c r="B121" s="257">
        <v>56017</v>
      </c>
      <c r="C121" s="259" t="s">
        <v>382</v>
      </c>
      <c r="D121" s="266" t="s">
        <v>259</v>
      </c>
      <c r="E121" s="259"/>
      <c r="F121" s="401">
        <v>335617</v>
      </c>
      <c r="G121" s="274">
        <v>360026.06</v>
      </c>
      <c r="H121" s="318">
        <v>262664.67</v>
      </c>
    </row>
    <row r="122" spans="1:8" x14ac:dyDescent="0.25">
      <c r="A122" s="334">
        <v>522</v>
      </c>
      <c r="B122" s="335"/>
      <c r="C122" s="260" t="s">
        <v>260</v>
      </c>
      <c r="D122" s="336" t="s">
        <v>259</v>
      </c>
      <c r="E122" s="260"/>
      <c r="F122" s="402">
        <v>0</v>
      </c>
      <c r="G122" s="276">
        <v>0</v>
      </c>
      <c r="H122" s="276">
        <v>0</v>
      </c>
    </row>
    <row r="123" spans="1:8" x14ac:dyDescent="0.25">
      <c r="A123" s="337">
        <v>522</v>
      </c>
      <c r="B123" s="338">
        <v>69450</v>
      </c>
      <c r="C123" s="261" t="s">
        <v>383</v>
      </c>
      <c r="D123" s="339" t="s">
        <v>259</v>
      </c>
      <c r="E123" s="261"/>
      <c r="F123" s="403">
        <v>3121852.9909419999</v>
      </c>
      <c r="G123" s="277">
        <v>2686304.74</v>
      </c>
      <c r="H123" s="277">
        <v>2018617.74</v>
      </c>
    </row>
    <row r="124" spans="1:8" x14ac:dyDescent="0.25">
      <c r="A124" s="340">
        <v>522</v>
      </c>
      <c r="B124" s="341" t="s">
        <v>262</v>
      </c>
      <c r="C124" s="315" t="s">
        <v>384</v>
      </c>
      <c r="D124" s="342" t="s">
        <v>259</v>
      </c>
      <c r="E124" s="262"/>
      <c r="F124" s="408">
        <v>14141174.470942</v>
      </c>
      <c r="G124" s="271">
        <v>16514216.849080963</v>
      </c>
      <c r="H124" s="320">
        <v>8944357.4199999999</v>
      </c>
    </row>
    <row r="125" spans="1:8" ht="30" x14ac:dyDescent="0.25">
      <c r="A125" s="346">
        <v>881</v>
      </c>
      <c r="B125" s="346">
        <v>69450</v>
      </c>
      <c r="C125" s="316" t="s">
        <v>385</v>
      </c>
      <c r="D125" s="347" t="s">
        <v>259</v>
      </c>
      <c r="E125" s="267"/>
      <c r="F125" s="409">
        <v>442855.859345</v>
      </c>
      <c r="G125" s="281">
        <v>79509.3</v>
      </c>
      <c r="H125" s="321">
        <v>79509.3</v>
      </c>
    </row>
    <row r="126" spans="1:8" ht="15.75" x14ac:dyDescent="0.25">
      <c r="A126" s="348" t="s">
        <v>262</v>
      </c>
      <c r="B126" s="344">
        <v>56017</v>
      </c>
      <c r="C126" s="264" t="s">
        <v>386</v>
      </c>
      <c r="D126" s="264" t="s">
        <v>259</v>
      </c>
      <c r="E126" s="264"/>
      <c r="F126" s="407">
        <v>38560935.829059996</v>
      </c>
      <c r="G126" s="280">
        <v>37138317.200563207</v>
      </c>
      <c r="H126" s="280">
        <v>23874090.57</v>
      </c>
    </row>
    <row r="127" spans="1:8" ht="15.75" x14ac:dyDescent="0.25">
      <c r="A127" s="264" t="s">
        <v>387</v>
      </c>
      <c r="B127" s="264"/>
      <c r="C127" s="264"/>
      <c r="D127" s="264"/>
      <c r="E127" s="264"/>
      <c r="F127" s="410">
        <v>437772939.33974737</v>
      </c>
      <c r="G127" s="282">
        <v>434772939.33974743</v>
      </c>
      <c r="H127" s="282">
        <v>266240010.56222898</v>
      </c>
    </row>
    <row r="128" spans="1:8" x14ac:dyDescent="0.25">
      <c r="A128" s="349"/>
      <c r="B128" s="255"/>
      <c r="C128" s="268"/>
      <c r="D128" s="350"/>
      <c r="E128" s="268"/>
      <c r="F128" s="397"/>
      <c r="G128" s="279"/>
      <c r="H128" s="279"/>
    </row>
    <row r="129" spans="1:8" ht="25.5" x14ac:dyDescent="0.25">
      <c r="A129" s="351">
        <v>499</v>
      </c>
      <c r="B129" s="352">
        <v>56193</v>
      </c>
      <c r="C129" s="317" t="s">
        <v>388</v>
      </c>
      <c r="D129" s="353" t="s">
        <v>259</v>
      </c>
      <c r="E129" s="269" t="s">
        <v>389</v>
      </c>
      <c r="F129" s="411">
        <v>0</v>
      </c>
      <c r="G129" s="283">
        <v>0</v>
      </c>
      <c r="H129" s="283">
        <v>0</v>
      </c>
    </row>
    <row r="130" spans="1:8" ht="15.75" x14ac:dyDescent="0.25">
      <c r="A130" s="264" t="s">
        <v>390</v>
      </c>
      <c r="B130" s="264"/>
      <c r="C130" s="264"/>
      <c r="D130" s="264"/>
      <c r="E130" s="264"/>
      <c r="F130" s="412">
        <v>437772939.33974737</v>
      </c>
      <c r="G130" s="284">
        <v>434772939.33974743</v>
      </c>
      <c r="H130" s="322">
        <v>266240010.56222898</v>
      </c>
    </row>
    <row r="131" spans="1:8" ht="45" x14ac:dyDescent="0.25">
      <c r="E131" s="362" t="s">
        <v>132</v>
      </c>
      <c r="F131" s="270">
        <f>F16+F21+F30+F22</f>
        <v>12959483</v>
      </c>
      <c r="G131" s="270">
        <f>G16+G21+G30+G22</f>
        <v>11132478.59</v>
      </c>
      <c r="H131" s="270">
        <f>H16+H21+H30+H22</f>
        <v>8142179.3300000001</v>
      </c>
    </row>
    <row r="132" spans="1:8" ht="30" x14ac:dyDescent="0.25">
      <c r="E132" s="362" t="s">
        <v>160</v>
      </c>
      <c r="F132" s="270">
        <f>F7+F8</f>
        <v>29349880</v>
      </c>
      <c r="G132" s="270">
        <f t="shared" ref="G132:H132" si="0">G7+G8</f>
        <v>31865461.971111819</v>
      </c>
      <c r="H132" s="270">
        <f t="shared" si="0"/>
        <v>22352333.219999999</v>
      </c>
    </row>
    <row r="133" spans="1:8" ht="30" x14ac:dyDescent="0.25">
      <c r="E133" s="362" t="s">
        <v>173</v>
      </c>
      <c r="F133" s="270">
        <f>F12+F13</f>
        <v>9483013</v>
      </c>
      <c r="G133" s="270">
        <f>G12+G13</f>
        <v>9096146.9645055421</v>
      </c>
      <c r="H133" s="270">
        <f>H12+H13</f>
        <v>5188945.0699999994</v>
      </c>
    </row>
    <row r="134" spans="1:8" ht="30" x14ac:dyDescent="0.25">
      <c r="E134" s="362" t="s">
        <v>659</v>
      </c>
      <c r="F134" s="491">
        <f>F11+F36</f>
        <v>6259879.9600000009</v>
      </c>
      <c r="G134" s="491">
        <f t="shared" ref="G134:H134" si="1">G11+G36</f>
        <v>6208638.5600000015</v>
      </c>
      <c r="H134" s="491">
        <f t="shared" si="1"/>
        <v>4655154.1000000006</v>
      </c>
    </row>
    <row r="135" spans="1:8" x14ac:dyDescent="0.25">
      <c r="E135" s="363" t="s">
        <v>391</v>
      </c>
      <c r="F135" s="270">
        <f>F87+F88+F89</f>
        <v>8445514</v>
      </c>
      <c r="G135" s="270">
        <f>G87+G88+G89</f>
        <v>8240064.7924999995</v>
      </c>
      <c r="H135" s="270">
        <f t="shared" ref="H135" si="2">H87+H88+H89</f>
        <v>6659423.0999999996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8325D-6F0C-4775-A56E-FBE4FA03EBE2}">
  <sheetPr codeName="Sheet8"/>
  <dimension ref="A1:I62"/>
  <sheetViews>
    <sheetView topLeftCell="A13" workbookViewId="0">
      <selection activeCell="J42" sqref="J42"/>
    </sheetView>
  </sheetViews>
  <sheetFormatPr defaultRowHeight="15" x14ac:dyDescent="0.25"/>
  <cols>
    <col min="1" max="1" width="26.85546875" customWidth="1"/>
    <col min="2" max="2" width="37.28515625" customWidth="1"/>
    <col min="3" max="3" width="61.5703125" hidden="1" customWidth="1"/>
    <col min="4" max="4" width="62.85546875" bestFit="1" customWidth="1"/>
    <col min="5" max="5" width="10.28515625" bestFit="1" customWidth="1"/>
    <col min="6" max="6" width="11.140625" bestFit="1" customWidth="1"/>
    <col min="8" max="9" width="12" bestFit="1" customWidth="1"/>
    <col min="10" max="10" width="39.140625" customWidth="1"/>
    <col min="11" max="11" width="8.7109375" bestFit="1" customWidth="1"/>
  </cols>
  <sheetData>
    <row r="1" spans="1:6" x14ac:dyDescent="0.25">
      <c r="A1" s="366" t="s">
        <v>392</v>
      </c>
      <c r="B1" s="366" t="s">
        <v>393</v>
      </c>
      <c r="C1" s="366"/>
      <c r="D1" s="366"/>
      <c r="E1" s="366" t="s">
        <v>394</v>
      </c>
      <c r="F1" s="365" t="s">
        <v>395</v>
      </c>
    </row>
    <row r="2" spans="1:6" x14ac:dyDescent="0.25">
      <c r="A2" s="81" t="s">
        <v>24</v>
      </c>
      <c r="B2" s="364" t="s">
        <v>45</v>
      </c>
      <c r="C2" s="395"/>
      <c r="D2" t="str">
        <f>A2&amp;"-"&amp;B2</f>
        <v>Incentives-Standard - Private</v>
      </c>
      <c r="E2" s="270">
        <f>VLOOKUP(D2,[1]Export!$E:$S,14,FALSE)</f>
        <v>164048.03999999998</v>
      </c>
      <c r="F2" s="371">
        <f>VLOOKUP(D2,[1]Export!$E:$S,15,FALSE)</f>
        <v>117032.84999999999</v>
      </c>
    </row>
    <row r="3" spans="1:6" x14ac:dyDescent="0.25">
      <c r="A3" s="81" t="s">
        <v>24</v>
      </c>
      <c r="B3" s="364" t="s">
        <v>82</v>
      </c>
      <c r="C3" s="395"/>
      <c r="D3" t="str">
        <f t="shared" ref="D3:D42" si="0">A3&amp;"-"&amp;B3</f>
        <v>Incentives-Standard - Public</v>
      </c>
      <c r="E3" s="270">
        <f>VLOOKUP(D3,[1]Export!$E:$S,14,FALSE)</f>
        <v>28071.489999999998</v>
      </c>
      <c r="F3" s="371">
        <f>VLOOKUP(D3,[1]Export!$E:$S,15,FALSE)</f>
        <v>14125.939999999999</v>
      </c>
    </row>
    <row r="4" spans="1:6" x14ac:dyDescent="0.25">
      <c r="A4" s="81" t="s">
        <v>28</v>
      </c>
      <c r="B4" s="364" t="s">
        <v>51</v>
      </c>
      <c r="C4" s="395"/>
      <c r="D4" t="str">
        <f t="shared" si="0"/>
        <v>Small Business-Small Business - Private</v>
      </c>
      <c r="E4" s="270">
        <f>VLOOKUP(D4,[1]Export!$E:$S,14,FALSE)</f>
        <v>188943.65</v>
      </c>
      <c r="F4" s="371">
        <f>VLOOKUP(D4,[1]Export!$E:$S,15,FALSE)</f>
        <v>99855.010000000009</v>
      </c>
    </row>
    <row r="5" spans="1:6" x14ac:dyDescent="0.25">
      <c r="A5" s="81" t="s">
        <v>28</v>
      </c>
      <c r="B5" s="364" t="s">
        <v>88</v>
      </c>
      <c r="C5" s="395"/>
      <c r="D5" t="str">
        <f t="shared" si="0"/>
        <v>Small Business-Small Business - Public</v>
      </c>
      <c r="E5" s="270">
        <f>VLOOKUP(D5,[1]Export!$E:$S,14,FALSE)</f>
        <v>25420.19</v>
      </c>
      <c r="F5" s="371">
        <f>VLOOKUP(D5,[1]Export!$E:$S,15,FALSE)</f>
        <v>14901.850000000002</v>
      </c>
    </row>
    <row r="6" spans="1:6" x14ac:dyDescent="0.25">
      <c r="A6" s="81" t="s">
        <v>33</v>
      </c>
      <c r="B6" s="364" t="s">
        <v>402</v>
      </c>
      <c r="C6" s="395"/>
      <c r="D6" t="str">
        <f t="shared" si="0"/>
        <v>Behavior - Bus/Pub-Strategic Energy Management - Private</v>
      </c>
      <c r="E6" s="270">
        <f>VLOOKUP(D6,[1]Export!$E:$S,14,FALSE)</f>
        <v>37862.519999999997</v>
      </c>
      <c r="F6" s="371">
        <f>VLOOKUP(D6,[1]Export!$E:$S,15,FALSE)</f>
        <v>7408.52</v>
      </c>
    </row>
    <row r="7" spans="1:6" x14ac:dyDescent="0.25">
      <c r="A7" s="81" t="s">
        <v>33</v>
      </c>
      <c r="B7" s="364" t="s">
        <v>98</v>
      </c>
      <c r="C7" s="395"/>
      <c r="D7" t="str">
        <f t="shared" si="0"/>
        <v>Behavior - Bus/Pub-Strategic Energy Management - Public</v>
      </c>
      <c r="E7" s="270">
        <f>VLOOKUP(D7,[1]Export!$E:$S,14,FALSE)</f>
        <v>7550.82</v>
      </c>
      <c r="F7" s="371">
        <f>VLOOKUP(D7,[1]Export!$E:$S,15,FALSE)</f>
        <v>1550.82</v>
      </c>
    </row>
    <row r="8" spans="1:6" x14ac:dyDescent="0.25">
      <c r="A8" s="81" t="s">
        <v>35</v>
      </c>
      <c r="B8" s="364" t="s">
        <v>405</v>
      </c>
      <c r="C8" s="395"/>
      <c r="D8" t="str">
        <f t="shared" si="0"/>
        <v>Commercial Foodservice-Private</v>
      </c>
      <c r="E8" s="270">
        <f>VLOOKUP(D8,[1]Export!$E:$S,14,FALSE)</f>
        <v>1307.5</v>
      </c>
      <c r="F8" s="371">
        <f>VLOOKUP(D8,[1]Export!$E:$S,15,FALSE)</f>
        <v>827.50000000000011</v>
      </c>
    </row>
    <row r="9" spans="1:6" x14ac:dyDescent="0.25">
      <c r="A9" s="81" t="s">
        <v>35</v>
      </c>
      <c r="B9" s="364" t="s">
        <v>407</v>
      </c>
      <c r="C9" s="395"/>
      <c r="D9" t="str">
        <f t="shared" si="0"/>
        <v>Commercial Foodservice-Public</v>
      </c>
      <c r="E9" s="270">
        <f>VLOOKUP(D9,[1]Export!$E:$S,14,FALSE)</f>
        <v>66.899999999999991</v>
      </c>
      <c r="F9" s="371">
        <f>VLOOKUP(D9,[1]Export!$E:$S,15,FALSE)</f>
        <v>39.67</v>
      </c>
    </row>
    <row r="10" spans="1:6" x14ac:dyDescent="0.25">
      <c r="A10" s="81" t="s">
        <v>24</v>
      </c>
      <c r="B10" s="364" t="s">
        <v>48</v>
      </c>
      <c r="C10" s="395"/>
      <c r="D10" t="str">
        <f t="shared" si="0"/>
        <v>Incentives-Custom - Private</v>
      </c>
      <c r="E10" s="270">
        <f>VLOOKUP(D10,[1]Export!$E:$S,14,FALSE)</f>
        <v>11766.529999999999</v>
      </c>
      <c r="F10" s="371">
        <f>VLOOKUP(D10,[1]Export!$E:$S,15,FALSE)</f>
        <v>5152.53</v>
      </c>
    </row>
    <row r="11" spans="1:6" x14ac:dyDescent="0.25">
      <c r="A11" s="81" t="s">
        <v>24</v>
      </c>
      <c r="B11" s="364" t="s">
        <v>410</v>
      </c>
      <c r="C11" s="395"/>
      <c r="D11" t="str">
        <f t="shared" si="0"/>
        <v>Incentives-Custom - Public Sector</v>
      </c>
      <c r="E11" s="270">
        <f>VLOOKUP(D11,[1]Export!$E:$S,14,FALSE)</f>
        <v>1470.35</v>
      </c>
      <c r="F11" s="371">
        <f>VLOOKUP(D11,[1]Export!$E:$S,15,FALSE)</f>
        <v>891.35</v>
      </c>
    </row>
    <row r="12" spans="1:6" x14ac:dyDescent="0.25">
      <c r="A12" s="81" t="s">
        <v>29</v>
      </c>
      <c r="B12" s="364" t="s">
        <v>405</v>
      </c>
      <c r="C12" s="395"/>
      <c r="D12" t="str">
        <f t="shared" si="0"/>
        <v>Midstream/Upstream-Private</v>
      </c>
      <c r="E12" s="270">
        <f>VLOOKUP(D12,[1]Export!$E:$S,14,FALSE)</f>
        <v>113241</v>
      </c>
      <c r="F12" s="371">
        <f>VLOOKUP(D12,[1]Export!$E:$S,15,FALSE)</f>
        <v>76924</v>
      </c>
    </row>
    <row r="13" spans="1:6" x14ac:dyDescent="0.25">
      <c r="A13" s="81" t="s">
        <v>29</v>
      </c>
      <c r="B13" s="364" t="s">
        <v>407</v>
      </c>
      <c r="C13" s="395"/>
      <c r="D13" t="str">
        <f t="shared" si="0"/>
        <v>Midstream/Upstream-Public</v>
      </c>
      <c r="E13" s="270">
        <f>VLOOKUP(D13,[1]Export!$E:$S,14,FALSE)</f>
        <v>26615</v>
      </c>
      <c r="F13" s="371">
        <f>VLOOKUP(D13,[1]Export!$E:$S,15,FALSE)</f>
        <v>20396</v>
      </c>
    </row>
    <row r="14" spans="1:6" x14ac:dyDescent="0.25">
      <c r="A14" s="81" t="s">
        <v>414</v>
      </c>
      <c r="B14" s="364" t="s">
        <v>405</v>
      </c>
      <c r="C14" s="395"/>
      <c r="D14" t="str">
        <f t="shared" si="0"/>
        <v>New Construction - Bus/Pub-Private</v>
      </c>
      <c r="E14" s="270">
        <f>VLOOKUP(D14,[1]Export!$E:$S,14,FALSE)</f>
        <v>4670.32</v>
      </c>
      <c r="F14" s="371">
        <f>VLOOKUP(D14,[1]Export!$E:$S,15,FALSE)</f>
        <v>4276.32</v>
      </c>
    </row>
    <row r="15" spans="1:6" x14ac:dyDescent="0.25">
      <c r="A15" s="81" t="s">
        <v>414</v>
      </c>
      <c r="B15" s="364" t="s">
        <v>407</v>
      </c>
      <c r="C15" s="395"/>
      <c r="D15" t="str">
        <f t="shared" si="0"/>
        <v>New Construction - Bus/Pub-Public</v>
      </c>
      <c r="E15" s="270">
        <f>VLOOKUP(D15,[1]Export!$E:$S,14,FALSE)</f>
        <v>1114</v>
      </c>
      <c r="F15" s="371">
        <f>VLOOKUP(D15,[1]Export!$E:$S,15,FALSE)</f>
        <v>467</v>
      </c>
    </row>
    <row r="16" spans="1:6" x14ac:dyDescent="0.25">
      <c r="A16" s="81" t="s">
        <v>417</v>
      </c>
      <c r="B16" s="364" t="s">
        <v>31</v>
      </c>
      <c r="C16" s="395"/>
      <c r="D16" t="str">
        <f t="shared" si="0"/>
        <v>Targeted Systems-Industrial Systems</v>
      </c>
      <c r="E16" s="270">
        <f>VLOOKUP(D16,[1]Export!$E:$S,14,FALSE)</f>
        <v>52278.3</v>
      </c>
      <c r="F16" s="371">
        <f>VLOOKUP(D16,[1]Export!$E:$S,15,FALSE)</f>
        <v>30496.3</v>
      </c>
    </row>
    <row r="17" spans="1:6" x14ac:dyDescent="0.25">
      <c r="A17" s="81" t="s">
        <v>417</v>
      </c>
      <c r="B17" s="364" t="s">
        <v>418</v>
      </c>
      <c r="C17" s="395"/>
      <c r="D17" t="str">
        <f t="shared" si="0"/>
        <v>Targeted Systems-Retro-Commissioning - Private</v>
      </c>
      <c r="E17" s="270">
        <f>VLOOKUP(D17,[1]Export!$E:$S,14,FALSE)</f>
        <v>26538.9</v>
      </c>
      <c r="F17" s="371">
        <f>VLOOKUP(D17,[1]Export!$E:$S,15,FALSE)</f>
        <v>12188.9</v>
      </c>
    </row>
    <row r="18" spans="1:6" x14ac:dyDescent="0.25">
      <c r="A18" s="81" t="s">
        <v>417</v>
      </c>
      <c r="B18" s="364" t="s">
        <v>419</v>
      </c>
      <c r="C18" s="395"/>
      <c r="D18" t="str">
        <f t="shared" si="0"/>
        <v>Targeted Systems-Retro-Commissioning - Public</v>
      </c>
      <c r="E18" s="270">
        <f>VLOOKUP(D18,[1]Export!$E:$S,14,FALSE)</f>
        <v>17253.91</v>
      </c>
      <c r="F18" s="371">
        <f>VLOOKUP(D18,[1]Export!$E:$S,15,FALSE)</f>
        <v>9993.91</v>
      </c>
    </row>
    <row r="19" spans="1:6" x14ac:dyDescent="0.25">
      <c r="A19" s="81" t="s">
        <v>421</v>
      </c>
      <c r="B19" s="364" t="s">
        <v>422</v>
      </c>
      <c r="C19" s="395"/>
      <c r="D19" t="str">
        <f t="shared" si="0"/>
        <v>Additional/Other Savings-Weatherization Purchase Agreement - Nicor</v>
      </c>
      <c r="E19" s="270">
        <f>VLOOKUP(D19,[1]Export!$E:$S,14,FALSE)</f>
        <v>1035</v>
      </c>
      <c r="F19" s="371">
        <f>VLOOKUP(D19,[1]Export!$E:$S,15,FALSE)</f>
        <v>0</v>
      </c>
    </row>
    <row r="20" spans="1:6" x14ac:dyDescent="0.25">
      <c r="A20" s="81" t="s">
        <v>424</v>
      </c>
      <c r="B20" s="364" t="s">
        <v>194</v>
      </c>
      <c r="C20" s="395"/>
      <c r="D20" t="str">
        <f t="shared" si="0"/>
        <v>Portfolio Administration-Lighting Carryover</v>
      </c>
      <c r="E20" s="270">
        <f>VLOOKUP(D20,[1]Export!$E:$S,14,FALSE)</f>
        <v>41128</v>
      </c>
      <c r="F20" s="371">
        <f>VLOOKUP(D20,[1]Export!$E:$S,15,FALSE)</f>
        <v>25705</v>
      </c>
    </row>
    <row r="21" spans="1:6" x14ac:dyDescent="0.25">
      <c r="A21" s="81" t="s">
        <v>424</v>
      </c>
      <c r="B21" s="364" t="s">
        <v>333</v>
      </c>
      <c r="C21" s="395"/>
      <c r="D21" t="str">
        <f t="shared" si="0"/>
        <v>Portfolio Administration-R&amp;D</v>
      </c>
      <c r="E21" s="270">
        <f>VLOOKUP(D21,[1]Export!$E:$S,14,FALSE)</f>
        <v>3499.9199999999996</v>
      </c>
      <c r="F21" s="371">
        <f>VLOOKUP(D21,[1]Export!$E:$S,15,FALSE)</f>
        <v>2624.94</v>
      </c>
    </row>
    <row r="22" spans="1:6" x14ac:dyDescent="0.25">
      <c r="A22" s="81" t="s">
        <v>186</v>
      </c>
      <c r="B22" s="364" t="s">
        <v>186</v>
      </c>
      <c r="C22" s="395"/>
      <c r="D22" t="str">
        <f t="shared" si="0"/>
        <v>Voltage Optimization-Voltage Optimization</v>
      </c>
      <c r="E22" s="270">
        <f>VLOOKUP(D22,[1]Export!$E:$S,14,FALSE)</f>
        <v>119063</v>
      </c>
      <c r="F22" s="371">
        <f>VLOOKUP(D22,[1]Export!$E:$S,15,FALSE)</f>
        <v>59112</v>
      </c>
    </row>
    <row r="23" spans="1:6" x14ac:dyDescent="0.25">
      <c r="A23" s="81" t="s">
        <v>426</v>
      </c>
      <c r="B23" s="364" t="s">
        <v>426</v>
      </c>
      <c r="C23" s="395"/>
      <c r="D23" t="str">
        <f t="shared" si="0"/>
        <v>Contractor/Midstream Rebates-Contractor/Midstream Rebates</v>
      </c>
      <c r="E23" s="270">
        <f>VLOOKUP(D23,[1]Export!$E:$S,14,FALSE)</f>
        <v>23777</v>
      </c>
      <c r="F23" s="371">
        <f>VLOOKUP(D23,[1]Export!$E:$S,15,FALSE)</f>
        <v>19401</v>
      </c>
    </row>
    <row r="24" spans="1:6" x14ac:dyDescent="0.25">
      <c r="A24" s="81" t="s">
        <v>115</v>
      </c>
      <c r="B24" s="364" t="s">
        <v>425</v>
      </c>
      <c r="C24" s="395"/>
      <c r="D24" t="str">
        <f t="shared" si="0"/>
        <v>Product Distribution-Elementary Education - IE</v>
      </c>
      <c r="E24" s="270">
        <f>VLOOKUP(D24,[1]Export!$E:$S,14,FALSE)</f>
        <v>8188.8500000000013</v>
      </c>
      <c r="F24" s="371">
        <f>VLOOKUP(D24,[1]Export!$E:$S,15,FALSE)</f>
        <v>7318.91</v>
      </c>
    </row>
    <row r="25" spans="1:6" x14ac:dyDescent="0.25">
      <c r="A25" s="81" t="s">
        <v>115</v>
      </c>
      <c r="B25" s="364" t="s">
        <v>423</v>
      </c>
      <c r="C25" s="395"/>
      <c r="D25" t="str">
        <f t="shared" si="0"/>
        <v>Product Distribution-Food Bank</v>
      </c>
      <c r="E25" s="270">
        <f>VLOOKUP(D25,[1]Export!$E:$S,14,FALSE)</f>
        <v>222037.94</v>
      </c>
      <c r="F25" s="371">
        <f>VLOOKUP(D25,[1]Export!$E:$S,15,FALSE)</f>
        <v>178894.49</v>
      </c>
    </row>
    <row r="26" spans="1:6" x14ac:dyDescent="0.25">
      <c r="A26" s="81" t="s">
        <v>115</v>
      </c>
      <c r="B26" s="364" t="s">
        <v>420</v>
      </c>
      <c r="C26" s="395"/>
      <c r="D26" t="str">
        <f t="shared" si="0"/>
        <v>Product Distribution-IE Kits</v>
      </c>
      <c r="E26" s="270">
        <f>VLOOKUP(D26,[1]Export!$E:$S,14,FALSE)</f>
        <v>29800.640000000003</v>
      </c>
      <c r="F26" s="371">
        <f>VLOOKUP(D26,[1]Export!$E:$S,15,FALSE)</f>
        <v>23247.300000000003</v>
      </c>
    </row>
    <row r="27" spans="1:6" x14ac:dyDescent="0.25">
      <c r="A27" s="81" t="s">
        <v>115</v>
      </c>
      <c r="B27" s="364" t="s">
        <v>136</v>
      </c>
      <c r="C27" s="395"/>
      <c r="D27" t="str">
        <f t="shared" si="0"/>
        <v>Product Distribution-Product Distribution - Market Rate</v>
      </c>
      <c r="E27" s="270">
        <f>VLOOKUP(D27,[1]Export!$E:$S,14,FALSE)</f>
        <v>3744.4999999999995</v>
      </c>
      <c r="F27" s="371">
        <f>VLOOKUP(D27,[1]Export!$E:$S,15,FALSE)</f>
        <v>3334.6399999999994</v>
      </c>
    </row>
    <row r="28" spans="1:6" x14ac:dyDescent="0.25">
      <c r="A28" s="81" t="s">
        <v>416</v>
      </c>
      <c r="B28" s="364" t="s">
        <v>171</v>
      </c>
      <c r="C28" s="395"/>
      <c r="D28" t="str">
        <f t="shared" si="0"/>
        <v>Residential New Construction-Affordable Housing New Construction</v>
      </c>
      <c r="E28" s="270">
        <f>VLOOKUP(D28,[1]Export!$E:$S,14,FALSE)</f>
        <v>3361.1600000000008</v>
      </c>
      <c r="F28" s="371">
        <f>VLOOKUP(D28,[1]Export!$E:$S,15,FALSE)</f>
        <v>1881.3700000000001</v>
      </c>
    </row>
    <row r="29" spans="1:6" x14ac:dyDescent="0.25">
      <c r="A29" s="81" t="s">
        <v>416</v>
      </c>
      <c r="B29" s="364" t="s">
        <v>139</v>
      </c>
      <c r="C29" s="395"/>
      <c r="D29" t="str">
        <f t="shared" si="0"/>
        <v>Residential New Construction-All-Electric New Construction</v>
      </c>
      <c r="E29" s="270">
        <f>VLOOKUP(D29,[1]Export!$E:$S,14,FALSE)</f>
        <v>297.24</v>
      </c>
      <c r="F29" s="371">
        <f>VLOOKUP(D29,[1]Export!$E:$S,15,FALSE)</f>
        <v>155.13</v>
      </c>
    </row>
    <row r="30" spans="1:6" x14ac:dyDescent="0.25">
      <c r="A30" s="81" t="s">
        <v>114</v>
      </c>
      <c r="B30" s="364" t="s">
        <v>415</v>
      </c>
      <c r="C30" s="395"/>
      <c r="D30" t="str">
        <f t="shared" si="0"/>
        <v>Retail/Online-Marketplace Non-Lighting</v>
      </c>
      <c r="E30" s="270">
        <f>VLOOKUP(D30,[1]Export!$E:$S,14,FALSE)</f>
        <v>4146</v>
      </c>
      <c r="F30" s="371">
        <f>VLOOKUP(D30,[1]Export!$E:$S,15,FALSE)</f>
        <v>3345</v>
      </c>
    </row>
    <row r="31" spans="1:6" x14ac:dyDescent="0.25">
      <c r="A31" s="81" t="s">
        <v>114</v>
      </c>
      <c r="B31" s="364" t="s">
        <v>413</v>
      </c>
      <c r="C31" s="395"/>
      <c r="D31" t="str">
        <f t="shared" si="0"/>
        <v>Retail/Online-Retail - Income Eligible</v>
      </c>
      <c r="E31" s="270">
        <f>VLOOKUP(D31,[1]Export!$E:$S,14,FALSE)</f>
        <v>196592</v>
      </c>
      <c r="F31" s="371">
        <f>VLOOKUP(D31,[1]Export!$E:$S,15,FALSE)</f>
        <v>145747</v>
      </c>
    </row>
    <row r="32" spans="1:6" x14ac:dyDescent="0.25">
      <c r="A32" s="81" t="s">
        <v>114</v>
      </c>
      <c r="B32" s="364" t="s">
        <v>412</v>
      </c>
      <c r="C32" s="395"/>
      <c r="D32" t="str">
        <f t="shared" si="0"/>
        <v>Retail/Online-Retail - Market Rate</v>
      </c>
      <c r="E32" s="270">
        <f>VLOOKUP(D32,[1]Export!$E:$S,14,FALSE)</f>
        <v>120407</v>
      </c>
      <c r="F32" s="371">
        <f>VLOOKUP(D32,[1]Export!$E:$S,15,FALSE)</f>
        <v>100339</v>
      </c>
    </row>
    <row r="33" spans="1:9" x14ac:dyDescent="0.25">
      <c r="A33" s="81" t="s">
        <v>114</v>
      </c>
      <c r="B33" s="364" t="s">
        <v>411</v>
      </c>
      <c r="C33" s="395"/>
      <c r="D33" t="str">
        <f t="shared" si="0"/>
        <v>Retail/Online-Retail Products Platform</v>
      </c>
      <c r="E33" s="270">
        <f>VLOOKUP(D33,[1]Export!$E:$S,14,FALSE)</f>
        <v>12374.21</v>
      </c>
      <c r="F33" s="371">
        <f>VLOOKUP(D33,[1]Export!$E:$S,15,FALSE)</f>
        <v>8149.0399999999991</v>
      </c>
    </row>
    <row r="34" spans="1:9" x14ac:dyDescent="0.25">
      <c r="A34" s="81" t="s">
        <v>113</v>
      </c>
      <c r="B34" s="364" t="s">
        <v>409</v>
      </c>
      <c r="C34" s="395"/>
      <c r="D34" t="str">
        <f t="shared" si="0"/>
        <v>Multi-Family Upgrades-Income Eligible</v>
      </c>
      <c r="E34" s="270">
        <f>VLOOKUP(D34,[1]Export!$E:$S,14,FALSE)</f>
        <v>26872</v>
      </c>
      <c r="F34" s="371">
        <f>VLOOKUP(D34,[1]Export!$E:$S,15,FALSE)</f>
        <v>19818</v>
      </c>
    </row>
    <row r="35" spans="1:9" x14ac:dyDescent="0.25">
      <c r="A35" s="81" t="s">
        <v>113</v>
      </c>
      <c r="B35" s="364" t="s">
        <v>408</v>
      </c>
      <c r="C35" s="395"/>
      <c r="D35" t="str">
        <f t="shared" si="0"/>
        <v>Multi-Family Upgrades-Market Rate</v>
      </c>
      <c r="E35" s="270">
        <f>VLOOKUP(D35,[1]Export!$E:$S,14,FALSE)</f>
        <v>4920</v>
      </c>
      <c r="F35" s="371">
        <f>VLOOKUP(D35,[1]Export!$E:$S,15,FALSE)</f>
        <v>2741</v>
      </c>
    </row>
    <row r="36" spans="1:9" x14ac:dyDescent="0.25">
      <c r="A36" s="81" t="s">
        <v>113</v>
      </c>
      <c r="B36" s="364" t="s">
        <v>406</v>
      </c>
      <c r="C36" s="395"/>
      <c r="D36" t="str">
        <f t="shared" si="0"/>
        <v>Multi-Family Upgrades-Public Housing</v>
      </c>
      <c r="E36" s="270">
        <f>VLOOKUP(D36,[1]Export!$E:$S,14,FALSE)</f>
        <v>941</v>
      </c>
      <c r="F36" s="371">
        <f>VLOOKUP(D36,[1]Export!$E:$S,15,FALSE)</f>
        <v>860</v>
      </c>
    </row>
    <row r="37" spans="1:9" x14ac:dyDescent="0.25">
      <c r="A37" s="81" t="s">
        <v>112</v>
      </c>
      <c r="B37" s="364" t="s">
        <v>404</v>
      </c>
      <c r="C37" s="395"/>
      <c r="D37" t="str">
        <f t="shared" si="0"/>
        <v>Single-Family Upgrades-Home Energy Assessment - IE</v>
      </c>
      <c r="E37" s="270">
        <f>VLOOKUP(D37,[1]Export!$E:$S,14,FALSE)</f>
        <v>9757</v>
      </c>
      <c r="F37" s="371">
        <f>VLOOKUP(D37,[1]Export!$E:$S,15,FALSE)</f>
        <v>7446</v>
      </c>
    </row>
    <row r="38" spans="1:9" x14ac:dyDescent="0.25">
      <c r="A38" s="81" t="s">
        <v>112</v>
      </c>
      <c r="B38" s="364" t="s">
        <v>403</v>
      </c>
      <c r="C38" s="395"/>
      <c r="D38" t="str">
        <f t="shared" si="0"/>
        <v>Single-Family Upgrades-Home Energy Assessment - MR</v>
      </c>
      <c r="E38" s="270">
        <f>VLOOKUP(D38,[1]Export!$E:$S,14,FALSE)</f>
        <v>804</v>
      </c>
      <c r="F38" s="371">
        <f>VLOOKUP(D38,[1]Export!$E:$S,15,FALSE)</f>
        <v>515</v>
      </c>
    </row>
    <row r="39" spans="1:9" x14ac:dyDescent="0.25">
      <c r="A39" s="81" t="s">
        <v>112</v>
      </c>
      <c r="B39" s="364" t="s">
        <v>401</v>
      </c>
      <c r="C39" s="395"/>
      <c r="D39" t="str">
        <f t="shared" si="0"/>
        <v>Single-Family Upgrades-Income Eligible Retrofits</v>
      </c>
      <c r="E39" s="270">
        <f>VLOOKUP(D39,[1]Export!$E:$S,14,FALSE)</f>
        <v>3740</v>
      </c>
      <c r="F39" s="371">
        <f>VLOOKUP(D39,[1]Export!$E:$S,15,FALSE)</f>
        <v>2661</v>
      </c>
    </row>
    <row r="40" spans="1:9" x14ac:dyDescent="0.25">
      <c r="A40" s="81" t="s">
        <v>398</v>
      </c>
      <c r="B40" s="364" t="s">
        <v>400</v>
      </c>
      <c r="C40" s="395"/>
      <c r="D40" t="str">
        <f t="shared" si="0"/>
        <v>Whole Home Electric-Multi-Family IE (non-fuel switch)</v>
      </c>
      <c r="E40" s="270">
        <f>VLOOKUP(D40,[1]Export!$E:$S,14,FALSE)</f>
        <v>380</v>
      </c>
      <c r="F40" s="371">
        <f>VLOOKUP(D40,[1]Export!$E:$S,15,FALSE)</f>
        <v>141</v>
      </c>
    </row>
    <row r="41" spans="1:9" x14ac:dyDescent="0.25">
      <c r="A41" s="81" t="s">
        <v>398</v>
      </c>
      <c r="B41" s="364" t="s">
        <v>399</v>
      </c>
      <c r="C41" s="395"/>
      <c r="D41" t="str">
        <f t="shared" si="0"/>
        <v>Whole Home Electric-Single-Family IE (non-fuel switch)</v>
      </c>
      <c r="E41" s="270">
        <f>VLOOKUP(D41,[1]Export!$E:$S,14,FALSE)</f>
        <v>674</v>
      </c>
      <c r="F41" s="371">
        <f>VLOOKUP(D41,[1]Export!$E:$S,15,FALSE)</f>
        <v>483</v>
      </c>
    </row>
    <row r="42" spans="1:9" x14ac:dyDescent="0.25">
      <c r="A42" s="81" t="s">
        <v>396</v>
      </c>
      <c r="B42" s="364" t="s">
        <v>397</v>
      </c>
      <c r="C42" s="395"/>
      <c r="D42" t="str">
        <f t="shared" si="0"/>
        <v>Behavior - Res/IE-Home Energy Report</v>
      </c>
      <c r="E42" s="270">
        <f>VLOOKUP(D42,[1]Export!$E:$S,14,FALSE)</f>
        <v>103001</v>
      </c>
      <c r="F42" s="371">
        <f>VLOOKUP(D42,[1]Export!$E:$S,15,FALSE)</f>
        <v>79421</v>
      </c>
    </row>
    <row r="44" spans="1:9" x14ac:dyDescent="0.25">
      <c r="A44" s="368" t="s">
        <v>392</v>
      </c>
      <c r="B44" s="368" t="s">
        <v>393</v>
      </c>
      <c r="C44" s="368"/>
      <c r="D44" s="369"/>
      <c r="E44" s="369" t="s">
        <v>427</v>
      </c>
      <c r="F44" s="370" t="s">
        <v>428</v>
      </c>
      <c r="H44" t="s">
        <v>427</v>
      </c>
      <c r="I44" s="370" t="s">
        <v>428</v>
      </c>
    </row>
    <row r="45" spans="1:9" x14ac:dyDescent="0.25">
      <c r="A45" s="81" t="s">
        <v>29</v>
      </c>
      <c r="B45" s="364" t="s">
        <v>405</v>
      </c>
      <c r="C45" t="str">
        <f>A45&amp;"-"&amp;B45</f>
        <v>Midstream/Upstream-Private</v>
      </c>
      <c r="D45" t="str">
        <f>A45&amp;"-"&amp;B45&amp;"-Electrification"</f>
        <v>Midstream/Upstream-Private-Electrification</v>
      </c>
      <c r="H45">
        <v>23704</v>
      </c>
      <c r="I45">
        <v>11733</v>
      </c>
    </row>
    <row r="46" spans="1:9" x14ac:dyDescent="0.25">
      <c r="A46" s="81" t="s">
        <v>424</v>
      </c>
      <c r="B46" s="364" t="s">
        <v>333</v>
      </c>
      <c r="C46" t="str">
        <f t="shared" ref="C46:C53" si="1">A46&amp;"-"&amp;B46</f>
        <v>Portfolio Administration-R&amp;D</v>
      </c>
      <c r="D46" t="str">
        <f t="shared" ref="D46:D53" si="2">A46&amp;"-"&amp;B46&amp;"-Electrification"</f>
        <v>Portfolio Administration-R&amp;D-Electrification</v>
      </c>
      <c r="H46">
        <v>1500</v>
      </c>
      <c r="I46">
        <v>0</v>
      </c>
    </row>
    <row r="47" spans="1:9" x14ac:dyDescent="0.25">
      <c r="A47" s="81" t="s">
        <v>426</v>
      </c>
      <c r="B47" s="364" t="s">
        <v>426</v>
      </c>
      <c r="C47" t="str">
        <f t="shared" si="1"/>
        <v>Contractor/Midstream Rebates-Contractor/Midstream Rebates</v>
      </c>
      <c r="D47" t="str">
        <f t="shared" si="2"/>
        <v>Contractor/Midstream Rebates-Contractor/Midstream Rebates-Electrification</v>
      </c>
      <c r="H47">
        <v>61077.462390000001</v>
      </c>
      <c r="I47">
        <v>52954.328240000003</v>
      </c>
    </row>
    <row r="48" spans="1:9" x14ac:dyDescent="0.25">
      <c r="A48" s="81" t="s">
        <v>416</v>
      </c>
      <c r="B48" s="364" t="s">
        <v>171</v>
      </c>
      <c r="C48" t="str">
        <f t="shared" si="1"/>
        <v>Residential New Construction-Affordable Housing New Construction</v>
      </c>
      <c r="D48" t="str">
        <f t="shared" si="2"/>
        <v>Residential New Construction-Affordable Housing New Construction-Electrification</v>
      </c>
      <c r="H48">
        <v>5101.7037099999998</v>
      </c>
      <c r="I48">
        <v>2098.12545</v>
      </c>
    </row>
    <row r="49" spans="1:9" x14ac:dyDescent="0.25">
      <c r="A49" s="81" t="s">
        <v>416</v>
      </c>
      <c r="B49" s="364" t="s">
        <v>139</v>
      </c>
      <c r="C49" t="str">
        <f t="shared" si="1"/>
        <v>Residential New Construction-All-Electric New Construction</v>
      </c>
      <c r="D49" t="str">
        <f t="shared" si="2"/>
        <v>Residential New Construction-All-Electric New Construction-Electrification</v>
      </c>
      <c r="H49">
        <v>1264.1924339000002</v>
      </c>
      <c r="I49">
        <v>564.59093189999999</v>
      </c>
    </row>
    <row r="50" spans="1:9" x14ac:dyDescent="0.25">
      <c r="A50" s="81" t="s">
        <v>114</v>
      </c>
      <c r="B50" s="364" t="s">
        <v>413</v>
      </c>
      <c r="C50" t="str">
        <f t="shared" si="1"/>
        <v>Retail/Online-Retail - Income Eligible</v>
      </c>
      <c r="D50" t="str">
        <f t="shared" si="2"/>
        <v>Retail/Online-Retail - Income Eligible-Electrification</v>
      </c>
      <c r="H50">
        <v>19.791309999999999</v>
      </c>
      <c r="I50">
        <v>21.891310000000001</v>
      </c>
    </row>
    <row r="51" spans="1:9" x14ac:dyDescent="0.25">
      <c r="A51" s="81" t="s">
        <v>114</v>
      </c>
      <c r="B51" s="364" t="s">
        <v>412</v>
      </c>
      <c r="C51" t="str">
        <f t="shared" si="1"/>
        <v>Retail/Online-Retail - Market Rate</v>
      </c>
      <c r="D51" t="str">
        <f t="shared" si="2"/>
        <v>Retail/Online-Retail - Market Rate-Electrification</v>
      </c>
      <c r="H51">
        <v>341.33993999999996</v>
      </c>
      <c r="I51">
        <v>306.33993999999996</v>
      </c>
    </row>
    <row r="52" spans="1:9" x14ac:dyDescent="0.25">
      <c r="A52" s="81" t="s">
        <v>398</v>
      </c>
      <c r="B52" s="364" t="s">
        <v>429</v>
      </c>
      <c r="C52" t="str">
        <f t="shared" si="1"/>
        <v>Whole Home Electric-Multi-Family Electrification IE (fuel-switch)</v>
      </c>
      <c r="D52" t="str">
        <f t="shared" si="2"/>
        <v>Whole Home Electric-Multi-Family Electrification IE (fuel-switch)-Electrification</v>
      </c>
      <c r="H52">
        <v>3045.5876799999996</v>
      </c>
      <c r="I52">
        <v>1051.9410700000001</v>
      </c>
    </row>
    <row r="53" spans="1:9" x14ac:dyDescent="0.25">
      <c r="A53" s="81" t="s">
        <v>398</v>
      </c>
      <c r="B53" s="364" t="s">
        <v>430</v>
      </c>
      <c r="C53" t="str">
        <f t="shared" si="1"/>
        <v>Whole Home Electric-Single-Family Electrification IE (fuel switch)</v>
      </c>
      <c r="D53" t="str">
        <f t="shared" si="2"/>
        <v>Whole Home Electric-Single-Family Electrification IE (fuel switch)-Electrification</v>
      </c>
      <c r="H53">
        <v>2637.4376999999995</v>
      </c>
      <c r="I53">
        <v>1892.1628900000001</v>
      </c>
    </row>
    <row r="55" spans="1:9" ht="30" x14ac:dyDescent="0.25">
      <c r="D55" s="367" t="s">
        <v>131</v>
      </c>
      <c r="E55" s="270">
        <f>E30+E32+E33</f>
        <v>136927.21</v>
      </c>
      <c r="F55" s="270">
        <f>F30+F32+F33</f>
        <v>111833.04</v>
      </c>
      <c r="H55">
        <v>136927.21</v>
      </c>
      <c r="I55">
        <v>111833.04</v>
      </c>
    </row>
    <row r="56" spans="1:9" ht="30" x14ac:dyDescent="0.25">
      <c r="D56" s="367" t="s">
        <v>168</v>
      </c>
      <c r="E56" s="270">
        <f>E24+E25+E26</f>
        <v>260027.43000000002</v>
      </c>
      <c r="F56" s="270">
        <f>F24+F25+F26</f>
        <v>209460.7</v>
      </c>
      <c r="H56">
        <v>260027.43000000002</v>
      </c>
      <c r="I56">
        <v>209460.7</v>
      </c>
    </row>
    <row r="57" spans="1:9" ht="30" x14ac:dyDescent="0.25">
      <c r="D57" s="367" t="s">
        <v>153</v>
      </c>
      <c r="E57" s="270">
        <f>E39+E41</f>
        <v>4414</v>
      </c>
      <c r="F57" s="270">
        <f>F39+F41</f>
        <v>3144</v>
      </c>
      <c r="H57">
        <v>4414</v>
      </c>
      <c r="I57">
        <v>3144</v>
      </c>
    </row>
    <row r="58" spans="1:9" ht="30" x14ac:dyDescent="0.25">
      <c r="D58" s="367" t="s">
        <v>159</v>
      </c>
      <c r="E58" s="270">
        <f>E34+E40</f>
        <v>27252</v>
      </c>
      <c r="F58" s="270">
        <f>F34+F40</f>
        <v>19959</v>
      </c>
      <c r="H58">
        <v>27252</v>
      </c>
      <c r="I58">
        <v>19959</v>
      </c>
    </row>
    <row r="60" spans="1:9" ht="30" x14ac:dyDescent="0.25">
      <c r="D60" s="367" t="s">
        <v>182</v>
      </c>
      <c r="E60" s="270"/>
      <c r="F60" s="270"/>
      <c r="H60">
        <v>4999.92</v>
      </c>
      <c r="I60">
        <v>2624.94</v>
      </c>
    </row>
    <row r="61" spans="1:9" ht="30" x14ac:dyDescent="0.25">
      <c r="D61" s="367" t="s">
        <v>165</v>
      </c>
      <c r="E61" s="270"/>
      <c r="F61" s="270"/>
      <c r="H61">
        <v>196611.79131</v>
      </c>
      <c r="I61">
        <v>145768.89131000001</v>
      </c>
    </row>
    <row r="62" spans="1:9" ht="45" x14ac:dyDescent="0.25">
      <c r="D62" s="367" t="s">
        <v>172</v>
      </c>
      <c r="E62">
        <v>5683.0253799999991</v>
      </c>
      <c r="F62">
        <v>2944.1039600000004</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4D10-3FDD-4FAD-A229-E8DF46938261}">
  <sheetPr filterMode="1"/>
  <dimension ref="B1:R243"/>
  <sheetViews>
    <sheetView workbookViewId="0"/>
  </sheetViews>
  <sheetFormatPr defaultRowHeight="15" x14ac:dyDescent="0.25"/>
  <cols>
    <col min="2" max="2" width="85.7109375" bestFit="1" customWidth="1"/>
    <col min="3" max="3" width="14" style="483" bestFit="1" customWidth="1"/>
    <col min="4" max="4" width="12.5703125" bestFit="1" customWidth="1"/>
    <col min="5" max="13" width="9.140625" customWidth="1"/>
    <col min="14" max="14" width="13.5703125" customWidth="1"/>
    <col min="15" max="17" width="9.140625" customWidth="1"/>
    <col min="18" max="18" width="13.5703125" customWidth="1"/>
  </cols>
  <sheetData>
    <row r="1" spans="2:18" ht="15.75" thickBot="1" x14ac:dyDescent="0.3">
      <c r="N1" s="440">
        <v>266240010.56222898</v>
      </c>
      <c r="R1" s="459">
        <v>434772939.33974743</v>
      </c>
    </row>
    <row r="2" spans="2:18" ht="15.75" thickBot="1" x14ac:dyDescent="0.3">
      <c r="B2" s="437" t="s">
        <v>208</v>
      </c>
      <c r="C2" s="484" t="s">
        <v>210</v>
      </c>
      <c r="D2" s="437" t="s">
        <v>649</v>
      </c>
      <c r="E2" s="438">
        <v>45292</v>
      </c>
      <c r="F2" s="438">
        <v>45323</v>
      </c>
      <c r="G2" s="438">
        <v>45352</v>
      </c>
      <c r="H2" s="438">
        <v>45383</v>
      </c>
      <c r="I2" s="438">
        <v>45413</v>
      </c>
      <c r="J2" s="438">
        <v>45444</v>
      </c>
      <c r="K2" s="438">
        <v>45474</v>
      </c>
      <c r="L2" s="438">
        <v>45505</v>
      </c>
      <c r="M2" s="438">
        <v>45536</v>
      </c>
      <c r="N2" s="460" t="s">
        <v>647</v>
      </c>
      <c r="O2" s="438">
        <v>45566</v>
      </c>
      <c r="P2" s="438">
        <v>45597</v>
      </c>
      <c r="Q2" s="438">
        <v>45627</v>
      </c>
      <c r="R2" s="460" t="s">
        <v>638</v>
      </c>
    </row>
    <row r="3" spans="2:18" ht="27" hidden="1" x14ac:dyDescent="0.25">
      <c r="B3" t="s">
        <v>408</v>
      </c>
      <c r="C3" s="468" t="s">
        <v>126</v>
      </c>
      <c r="D3" s="435" t="s">
        <v>127</v>
      </c>
      <c r="E3" s="439">
        <v>15683.41</v>
      </c>
      <c r="F3" s="439">
        <v>57143.97</v>
      </c>
      <c r="G3" s="439">
        <v>18504.36</v>
      </c>
      <c r="H3" s="439">
        <v>32112.09</v>
      </c>
      <c r="I3" s="439">
        <v>22503.200000000001</v>
      </c>
      <c r="J3" s="439">
        <v>29347.73</v>
      </c>
      <c r="K3" s="439">
        <v>78019.490000000005</v>
      </c>
      <c r="L3" s="439">
        <v>21172.26</v>
      </c>
      <c r="M3" s="439">
        <v>33477.950000000004</v>
      </c>
      <c r="N3" s="440">
        <v>307964.46000000002</v>
      </c>
      <c r="O3" s="439">
        <v>61076</v>
      </c>
      <c r="P3" s="439">
        <v>64653</v>
      </c>
      <c r="Q3" s="439">
        <v>54323.049999999988</v>
      </c>
      <c r="R3" s="440">
        <v>488016.51</v>
      </c>
    </row>
    <row r="4" spans="2:18" ht="14.25" hidden="1" x14ac:dyDescent="0.25">
      <c r="B4" t="s">
        <v>408</v>
      </c>
      <c r="C4" s="468" t="s">
        <v>129</v>
      </c>
      <c r="D4" s="435" t="s">
        <v>130</v>
      </c>
      <c r="E4" s="439">
        <v>46623.950000000004</v>
      </c>
      <c r="F4" s="439">
        <v>59471.95</v>
      </c>
      <c r="G4" s="439">
        <v>108406.6</v>
      </c>
      <c r="H4" s="439">
        <v>202042.95</v>
      </c>
      <c r="I4" s="439">
        <v>202685.36</v>
      </c>
      <c r="J4" s="439">
        <v>239909.53</v>
      </c>
      <c r="K4" s="439">
        <v>211706.33000000002</v>
      </c>
      <c r="L4" s="439">
        <v>377979.20999999996</v>
      </c>
      <c r="M4" s="439">
        <v>202207.41</v>
      </c>
      <c r="N4" s="440">
        <v>1651033.29</v>
      </c>
      <c r="O4" s="439">
        <v>318637.14227272727</v>
      </c>
      <c r="P4" s="439">
        <v>447649.39437218185</v>
      </c>
      <c r="Q4" s="439">
        <v>375368.94439285737</v>
      </c>
      <c r="R4" s="440">
        <v>2792688.7710377667</v>
      </c>
    </row>
    <row r="5" spans="2:18" ht="27" hidden="1" x14ac:dyDescent="0.25">
      <c r="B5" t="s">
        <v>655</v>
      </c>
      <c r="C5" s="468" t="s">
        <v>163</v>
      </c>
      <c r="D5" s="435" t="s">
        <v>164</v>
      </c>
      <c r="E5" s="439">
        <v>63281.490000000005</v>
      </c>
      <c r="F5" s="439">
        <v>235173.76000000001</v>
      </c>
      <c r="G5" s="439">
        <v>181408.04</v>
      </c>
      <c r="H5" s="439">
        <v>30507.260000000002</v>
      </c>
      <c r="I5" s="439">
        <v>42642.66</v>
      </c>
      <c r="J5" s="439">
        <v>34456.67</v>
      </c>
      <c r="K5" s="439">
        <v>140815.97</v>
      </c>
      <c r="L5" s="439">
        <v>158887.67999999999</v>
      </c>
      <c r="M5" s="439">
        <v>95555.63</v>
      </c>
      <c r="N5" s="440">
        <v>982729.16</v>
      </c>
      <c r="O5" s="439">
        <v>184533.9236792</v>
      </c>
      <c r="P5" s="439">
        <v>112711.50185080001</v>
      </c>
      <c r="Q5" s="439">
        <v>557455.67632839968</v>
      </c>
      <c r="R5" s="440">
        <v>1837430.2618584</v>
      </c>
    </row>
    <row r="6" spans="2:18" ht="27" hidden="1" x14ac:dyDescent="0.25">
      <c r="B6" t="s">
        <v>655</v>
      </c>
      <c r="C6" s="468" t="s">
        <v>217</v>
      </c>
      <c r="D6" s="435" t="s">
        <v>161</v>
      </c>
      <c r="E6" s="439">
        <v>1973325.26</v>
      </c>
      <c r="F6" s="439">
        <v>817429.21</v>
      </c>
      <c r="G6" s="439">
        <v>2537311.94</v>
      </c>
      <c r="H6" s="439">
        <v>2254699.79</v>
      </c>
      <c r="I6" s="439">
        <v>2572291.79</v>
      </c>
      <c r="J6" s="439">
        <v>2085584.29</v>
      </c>
      <c r="K6" s="439">
        <v>1915315.1600000001</v>
      </c>
      <c r="L6" s="439">
        <v>2843656.27</v>
      </c>
      <c r="M6" s="439">
        <v>2119419.5099999998</v>
      </c>
      <c r="N6" s="440">
        <v>19119033.219999999</v>
      </c>
      <c r="O6" s="439">
        <v>2110913</v>
      </c>
      <c r="P6" s="439">
        <v>2291222</v>
      </c>
      <c r="Q6" s="439">
        <v>2232693.7511118203</v>
      </c>
      <c r="R6" s="440">
        <v>25753861.971111819</v>
      </c>
    </row>
    <row r="7" spans="2:18" ht="27" hidden="1" x14ac:dyDescent="0.25">
      <c r="B7" t="s">
        <v>655</v>
      </c>
      <c r="C7" s="468" t="s">
        <v>219</v>
      </c>
      <c r="D7" s="435" t="s">
        <v>161</v>
      </c>
      <c r="E7" s="439">
        <v>18000</v>
      </c>
      <c r="F7" s="439">
        <v>151200</v>
      </c>
      <c r="G7" s="439">
        <v>151200</v>
      </c>
      <c r="H7" s="439">
        <v>378800</v>
      </c>
      <c r="I7" s="439">
        <v>415800</v>
      </c>
      <c r="J7" s="439">
        <v>271300</v>
      </c>
      <c r="K7" s="439">
        <v>378000</v>
      </c>
      <c r="L7" s="439">
        <v>327900</v>
      </c>
      <c r="M7" s="439">
        <v>1141100</v>
      </c>
      <c r="N7" s="440">
        <v>3233300</v>
      </c>
      <c r="O7" s="439">
        <v>1373400</v>
      </c>
      <c r="P7" s="439">
        <v>844200</v>
      </c>
      <c r="Q7" s="439">
        <v>660700</v>
      </c>
      <c r="R7" s="440">
        <v>6111600</v>
      </c>
    </row>
    <row r="8" spans="2:18" ht="27" hidden="1" x14ac:dyDescent="0.25">
      <c r="B8" t="s">
        <v>655</v>
      </c>
      <c r="C8" s="468" t="s">
        <v>154</v>
      </c>
      <c r="D8" s="435" t="s">
        <v>155</v>
      </c>
      <c r="E8" s="439">
        <v>1056949.7</v>
      </c>
      <c r="F8" s="439">
        <v>821502.45000000007</v>
      </c>
      <c r="G8" s="439">
        <v>1161449.95</v>
      </c>
      <c r="H8" s="439">
        <v>1566518.8</v>
      </c>
      <c r="I8" s="439">
        <v>1650232.5000000002</v>
      </c>
      <c r="J8" s="439">
        <v>1848087.1300000001</v>
      </c>
      <c r="K8" s="439">
        <v>2833467.26</v>
      </c>
      <c r="L8" s="439">
        <v>3090645.0199999996</v>
      </c>
      <c r="M8" s="439">
        <v>2752606.65</v>
      </c>
      <c r="N8" s="440">
        <v>16781459.459999997</v>
      </c>
      <c r="O8" s="439">
        <v>2946429</v>
      </c>
      <c r="P8" s="439">
        <v>3270197</v>
      </c>
      <c r="Q8" s="439">
        <v>3282358.3500000015</v>
      </c>
      <c r="R8" s="440">
        <v>26280443.809999999</v>
      </c>
    </row>
    <row r="9" spans="2:18" ht="27" hidden="1" x14ac:dyDescent="0.25">
      <c r="B9" t="s">
        <v>655</v>
      </c>
      <c r="C9" s="468" t="s">
        <v>157</v>
      </c>
      <c r="D9" s="435" t="s">
        <v>158</v>
      </c>
      <c r="E9" s="439">
        <v>416973.58</v>
      </c>
      <c r="F9" s="439">
        <v>412654.43000000005</v>
      </c>
      <c r="G9" s="439">
        <v>469699.65</v>
      </c>
      <c r="H9" s="439">
        <v>471822</v>
      </c>
      <c r="I9" s="439">
        <v>454684.64999999997</v>
      </c>
      <c r="J9" s="439">
        <v>485345.56000000006</v>
      </c>
      <c r="K9" s="439">
        <v>451226.05</v>
      </c>
      <c r="L9" s="439">
        <v>428167.10000000003</v>
      </c>
      <c r="M9" s="439">
        <v>432207.63</v>
      </c>
      <c r="N9" s="440">
        <v>4022780.65</v>
      </c>
      <c r="O9" s="439">
        <v>461172</v>
      </c>
      <c r="P9" s="439">
        <v>505071</v>
      </c>
      <c r="Q9" s="439">
        <v>323758.36999999918</v>
      </c>
      <c r="R9" s="440">
        <v>5312782.0199999996</v>
      </c>
    </row>
    <row r="10" spans="2:18" ht="14.25" hidden="1" x14ac:dyDescent="0.25">
      <c r="C10" s="468" t="s">
        <v>123</v>
      </c>
      <c r="E10" s="439">
        <v>0</v>
      </c>
      <c r="F10" s="439">
        <v>0</v>
      </c>
      <c r="G10" s="439">
        <v>0</v>
      </c>
      <c r="H10" s="439">
        <v>0</v>
      </c>
      <c r="I10" s="439">
        <v>0</v>
      </c>
      <c r="J10" s="439">
        <v>0</v>
      </c>
      <c r="K10" s="439">
        <v>0</v>
      </c>
      <c r="L10" s="439">
        <v>0</v>
      </c>
      <c r="M10" s="439">
        <v>0</v>
      </c>
      <c r="N10" s="440">
        <v>0</v>
      </c>
      <c r="O10" s="439">
        <v>0</v>
      </c>
      <c r="P10" s="439">
        <v>0</v>
      </c>
      <c r="Q10" s="439">
        <v>0</v>
      </c>
      <c r="R10" s="440">
        <v>0</v>
      </c>
    </row>
    <row r="11" spans="2:18" ht="40.15" hidden="1" x14ac:dyDescent="0.25">
      <c r="B11" t="s">
        <v>655</v>
      </c>
      <c r="C11" s="468" t="s">
        <v>223</v>
      </c>
      <c r="D11" s="435" t="s">
        <v>174</v>
      </c>
      <c r="E11" s="439">
        <v>44657.14999999998</v>
      </c>
      <c r="F11" s="439">
        <v>50158.43</v>
      </c>
      <c r="G11" s="439">
        <v>56601.26</v>
      </c>
      <c r="H11" s="439">
        <v>52477.49</v>
      </c>
      <c r="I11" s="439">
        <v>66776.489999999991</v>
      </c>
      <c r="J11" s="439">
        <v>913541.69</v>
      </c>
      <c r="K11" s="439">
        <v>46242.659999999996</v>
      </c>
      <c r="L11" s="439">
        <v>79299.53</v>
      </c>
      <c r="M11" s="439">
        <v>108791.77</v>
      </c>
      <c r="N11" s="440">
        <v>1418546.4699999997</v>
      </c>
      <c r="O11" s="439">
        <v>85052.373855986734</v>
      </c>
      <c r="P11" s="439">
        <v>1155596.1510738565</v>
      </c>
      <c r="Q11" s="439">
        <v>1093553.7976571762</v>
      </c>
      <c r="R11" s="440">
        <v>3752748.7925870186</v>
      </c>
    </row>
    <row r="12" spans="2:18" ht="40.15" hidden="1" x14ac:dyDescent="0.25">
      <c r="B12" t="s">
        <v>655</v>
      </c>
      <c r="C12" s="468" t="s">
        <v>225</v>
      </c>
      <c r="D12" s="435" t="s">
        <v>174</v>
      </c>
      <c r="E12" s="439">
        <v>50434.43</v>
      </c>
      <c r="F12" s="439">
        <v>208399.76</v>
      </c>
      <c r="G12" s="439">
        <v>278253.34000000003</v>
      </c>
      <c r="H12" s="439">
        <v>85417.44</v>
      </c>
      <c r="I12" s="439">
        <v>344844.47</v>
      </c>
      <c r="J12" s="439">
        <v>589906.92000000004</v>
      </c>
      <c r="K12" s="439">
        <v>692429.49</v>
      </c>
      <c r="L12" s="439">
        <v>756195.36</v>
      </c>
      <c r="M12" s="439">
        <v>764517.39</v>
      </c>
      <c r="N12" s="440">
        <v>3770398.5999999996</v>
      </c>
      <c r="O12" s="439">
        <v>673353.60401705117</v>
      </c>
      <c r="P12" s="439">
        <v>506438.16751408373</v>
      </c>
      <c r="Q12" s="439">
        <v>393207.80038738833</v>
      </c>
      <c r="R12" s="440">
        <v>5343398.1719185226</v>
      </c>
    </row>
    <row r="13" spans="2:18" ht="14.25" hidden="1" x14ac:dyDescent="0.25">
      <c r="B13" s="464"/>
      <c r="C13" s="475" t="s">
        <v>658</v>
      </c>
      <c r="D13" s="464"/>
      <c r="E13" s="465">
        <v>3685928.9700000007</v>
      </c>
      <c r="F13" s="465">
        <v>2813133.96</v>
      </c>
      <c r="G13" s="465">
        <v>4962835.1399999997</v>
      </c>
      <c r="H13" s="465">
        <v>5074397.82</v>
      </c>
      <c r="I13" s="465">
        <v>5772461.1200000001</v>
      </c>
      <c r="J13" s="465">
        <v>6497479.5199999996</v>
      </c>
      <c r="K13" s="465">
        <v>6747222.4100000001</v>
      </c>
      <c r="L13" s="465">
        <v>8083902.4299999997</v>
      </c>
      <c r="M13" s="465">
        <v>7649883.9399999995</v>
      </c>
      <c r="N13" s="466">
        <v>51287245.309999995</v>
      </c>
      <c r="O13" s="465">
        <v>8214567.0438249651</v>
      </c>
      <c r="P13" s="465">
        <v>9197738.2148109227</v>
      </c>
      <c r="Q13" s="465">
        <v>8973419.7398776431</v>
      </c>
      <c r="R13" s="465">
        <v>77672970.308513522</v>
      </c>
    </row>
    <row r="14" spans="2:18" ht="14.25" hidden="1" x14ac:dyDescent="0.25">
      <c r="B14" t="s">
        <v>408</v>
      </c>
      <c r="C14" s="468" t="s">
        <v>135</v>
      </c>
      <c r="D14" s="435" t="s">
        <v>136</v>
      </c>
      <c r="E14" s="439">
        <v>0</v>
      </c>
      <c r="F14" s="439">
        <v>178088.15</v>
      </c>
      <c r="G14" s="439">
        <v>214401.1</v>
      </c>
      <c r="H14" s="439">
        <v>204176.05</v>
      </c>
      <c r="I14" s="439">
        <v>54838.299999999988</v>
      </c>
      <c r="J14" s="439">
        <v>0</v>
      </c>
      <c r="K14" s="439">
        <v>0</v>
      </c>
      <c r="L14" s="439">
        <v>78252.649999999994</v>
      </c>
      <c r="M14" s="439">
        <v>178505.7</v>
      </c>
      <c r="N14" s="440">
        <v>908261.95000000019</v>
      </c>
      <c r="O14" s="439">
        <v>46411.65</v>
      </c>
      <c r="P14" s="439">
        <v>34668.800000000003</v>
      </c>
      <c r="Q14" s="439">
        <v>-50947.650000000023</v>
      </c>
      <c r="R14" s="441">
        <v>938394.75000000023</v>
      </c>
    </row>
    <row r="15" spans="2:18" ht="121.5" x14ac:dyDescent="0.25">
      <c r="B15" t="s">
        <v>408</v>
      </c>
      <c r="C15" s="468" t="s">
        <v>230</v>
      </c>
      <c r="D15" s="435" t="s">
        <v>133</v>
      </c>
      <c r="E15" s="439">
        <v>752007.6</v>
      </c>
      <c r="F15" s="439">
        <v>1165001.23</v>
      </c>
      <c r="G15" s="439">
        <v>1251765.6000000001</v>
      </c>
      <c r="H15" s="439">
        <v>-217891.14000000004</v>
      </c>
      <c r="I15" s="439">
        <v>1026549.42</v>
      </c>
      <c r="J15" s="439">
        <v>477482.82999999996</v>
      </c>
      <c r="K15" s="439">
        <v>615295.54</v>
      </c>
      <c r="L15" s="439">
        <v>678581.25</v>
      </c>
      <c r="M15" s="439">
        <v>504648.87000000005</v>
      </c>
      <c r="N15" s="440">
        <v>6253441.2000000002</v>
      </c>
      <c r="O15" s="439">
        <v>1138049</v>
      </c>
      <c r="P15" s="439">
        <v>570105</v>
      </c>
      <c r="Q15" s="439">
        <v>281706.12999999989</v>
      </c>
      <c r="R15" s="441">
        <v>8243301.3300000001</v>
      </c>
    </row>
    <row r="16" spans="2:18" ht="14.25" hidden="1" x14ac:dyDescent="0.25">
      <c r="B16" t="s">
        <v>655</v>
      </c>
      <c r="C16" s="468" t="s">
        <v>171</v>
      </c>
      <c r="D16" s="435" t="s">
        <v>171</v>
      </c>
      <c r="E16" s="439">
        <v>75349.38</v>
      </c>
      <c r="F16" s="439">
        <v>175888.87999999998</v>
      </c>
      <c r="G16" s="439">
        <v>49611.21</v>
      </c>
      <c r="H16" s="439">
        <v>52849.21</v>
      </c>
      <c r="I16" s="439">
        <v>51977.8</v>
      </c>
      <c r="J16" s="439">
        <v>133976.13</v>
      </c>
      <c r="K16" s="439">
        <v>350385.04000000004</v>
      </c>
      <c r="L16" s="439">
        <v>22582.76</v>
      </c>
      <c r="M16" s="439">
        <v>579589.80000000005</v>
      </c>
      <c r="N16" s="440">
        <v>1492210.21</v>
      </c>
      <c r="O16" s="439">
        <v>294245</v>
      </c>
      <c r="P16" s="439">
        <v>128674</v>
      </c>
      <c r="Q16" s="439">
        <v>296779.20000000019</v>
      </c>
      <c r="R16" s="441">
        <v>2211908.41</v>
      </c>
    </row>
    <row r="17" spans="2:18" ht="27" hidden="1" x14ac:dyDescent="0.25">
      <c r="B17" t="s">
        <v>408</v>
      </c>
      <c r="C17" s="468" t="s">
        <v>141</v>
      </c>
      <c r="D17" s="435" t="s">
        <v>118</v>
      </c>
      <c r="E17" s="439">
        <v>516874.73</v>
      </c>
      <c r="F17" s="439">
        <v>738119.72</v>
      </c>
      <c r="G17" s="439">
        <v>234323.66</v>
      </c>
      <c r="H17" s="439">
        <v>232114.88</v>
      </c>
      <c r="I17" s="439">
        <v>48856.710000000014</v>
      </c>
      <c r="J17" s="439">
        <v>158178.87</v>
      </c>
      <c r="K17" s="439">
        <v>300037.21000000002</v>
      </c>
      <c r="L17" s="439">
        <v>359758.37</v>
      </c>
      <c r="M17" s="439">
        <v>194443.99</v>
      </c>
      <c r="N17" s="440">
        <v>2782708.1399999997</v>
      </c>
      <c r="O17" s="439">
        <v>427140</v>
      </c>
      <c r="P17" s="439">
        <v>387022</v>
      </c>
      <c r="Q17" s="439">
        <v>521643.39000000025</v>
      </c>
      <c r="R17" s="441">
        <v>4118513.53</v>
      </c>
    </row>
    <row r="18" spans="2:18" ht="14.25" hidden="1" x14ac:dyDescent="0.25">
      <c r="B18" t="s">
        <v>655</v>
      </c>
      <c r="C18" s="468" t="s">
        <v>169</v>
      </c>
      <c r="D18" s="435" t="s">
        <v>169</v>
      </c>
      <c r="E18" s="439">
        <v>807777.52</v>
      </c>
      <c r="F18" s="439">
        <v>1409135.8299999998</v>
      </c>
      <c r="G18" s="439">
        <v>1354259.7799999998</v>
      </c>
      <c r="H18" s="439">
        <v>1519112.01</v>
      </c>
      <c r="I18" s="439">
        <v>1515890.65</v>
      </c>
      <c r="J18" s="439">
        <v>1326898.04</v>
      </c>
      <c r="K18" s="439">
        <v>1225865.98</v>
      </c>
      <c r="L18" s="439">
        <v>1388216.61</v>
      </c>
      <c r="M18" s="439">
        <v>1513469.6800000002</v>
      </c>
      <c r="N18" s="440">
        <v>12060626.099999998</v>
      </c>
      <c r="O18" s="439">
        <v>1327194.51</v>
      </c>
      <c r="P18" s="439">
        <v>1392375.7300000002</v>
      </c>
      <c r="Q18" s="439">
        <v>477874.53000000102</v>
      </c>
      <c r="R18" s="441">
        <v>15258070.869999999</v>
      </c>
    </row>
    <row r="19" spans="2:18" ht="14.25" hidden="1" x14ac:dyDescent="0.25">
      <c r="B19" t="s">
        <v>408</v>
      </c>
      <c r="C19" s="468" t="s">
        <v>138</v>
      </c>
      <c r="D19" s="435" t="s">
        <v>139</v>
      </c>
      <c r="E19" s="439">
        <v>2773.6099999999997</v>
      </c>
      <c r="F19" s="439">
        <v>5262.2699999999995</v>
      </c>
      <c r="G19" s="439">
        <v>5997.2000000000007</v>
      </c>
      <c r="H19" s="439">
        <v>21374.190000000002</v>
      </c>
      <c r="I19" s="439">
        <v>20208.75</v>
      </c>
      <c r="J19" s="439">
        <v>31249.1</v>
      </c>
      <c r="K19" s="439">
        <v>8423.5400000000009</v>
      </c>
      <c r="L19" s="439">
        <v>9982.92</v>
      </c>
      <c r="M19" s="439">
        <v>10617.810000000001</v>
      </c>
      <c r="N19" s="440">
        <v>115889.39</v>
      </c>
      <c r="O19" s="439">
        <v>28075</v>
      </c>
      <c r="P19" s="439">
        <v>6214</v>
      </c>
      <c r="Q19" s="439">
        <v>37072.19</v>
      </c>
      <c r="R19" s="441">
        <v>187250.58000000002</v>
      </c>
    </row>
    <row r="20" spans="2:18" ht="121.5" x14ac:dyDescent="0.25">
      <c r="B20" t="s">
        <v>408</v>
      </c>
      <c r="C20" s="468" t="s">
        <v>236</v>
      </c>
      <c r="D20" s="435" t="s">
        <v>133</v>
      </c>
      <c r="E20" s="439">
        <v>23111.18</v>
      </c>
      <c r="F20" s="439">
        <v>152271.71000000002</v>
      </c>
      <c r="G20" s="439">
        <v>-66550.200000000012</v>
      </c>
      <c r="H20" s="439">
        <v>157086.54</v>
      </c>
      <c r="I20" s="439">
        <v>219091.19</v>
      </c>
      <c r="J20" s="439">
        <v>159784.97</v>
      </c>
      <c r="K20" s="439">
        <v>155944.37000000005</v>
      </c>
      <c r="L20" s="439">
        <v>155060.22000000003</v>
      </c>
      <c r="M20" s="439">
        <v>95130.11</v>
      </c>
      <c r="N20" s="440">
        <v>1050930.0900000001</v>
      </c>
      <c r="O20" s="439">
        <v>365876</v>
      </c>
      <c r="P20" s="439">
        <v>57245.919999999998</v>
      </c>
      <c r="Q20" s="439">
        <v>111399.8899999999</v>
      </c>
      <c r="R20" s="441">
        <v>1585451.9</v>
      </c>
    </row>
    <row r="21" spans="2:18" ht="121.5" x14ac:dyDescent="0.25">
      <c r="B21" t="s">
        <v>408</v>
      </c>
      <c r="C21" s="468" t="s">
        <v>238</v>
      </c>
      <c r="D21" s="435" t="s">
        <v>133</v>
      </c>
      <c r="E21" s="439">
        <v>0</v>
      </c>
      <c r="F21" s="439">
        <v>0</v>
      </c>
      <c r="G21" s="439">
        <v>0</v>
      </c>
      <c r="H21" s="439">
        <v>0</v>
      </c>
      <c r="I21" s="439">
        <v>0</v>
      </c>
      <c r="J21" s="439">
        <v>13584.22</v>
      </c>
      <c r="K21" s="439">
        <v>-13584.22</v>
      </c>
      <c r="L21" s="439">
        <v>0</v>
      </c>
      <c r="M21" s="439">
        <v>0</v>
      </c>
      <c r="N21" s="440">
        <v>0</v>
      </c>
      <c r="O21" s="439">
        <v>0</v>
      </c>
      <c r="P21" s="439">
        <v>0</v>
      </c>
      <c r="Q21" s="439">
        <v>0</v>
      </c>
      <c r="R21" s="441">
        <v>0</v>
      </c>
    </row>
    <row r="22" spans="2:18" ht="14.25" hidden="1" x14ac:dyDescent="0.25">
      <c r="B22" t="s">
        <v>655</v>
      </c>
      <c r="C22" s="468" t="s">
        <v>166</v>
      </c>
      <c r="D22" s="442" t="s">
        <v>413</v>
      </c>
      <c r="E22" s="405">
        <v>1540811.31</v>
      </c>
      <c r="F22" s="405">
        <v>1487881.9599999997</v>
      </c>
      <c r="G22" s="405">
        <v>2194118.3699999996</v>
      </c>
      <c r="H22" s="405">
        <v>2570130.2999999998</v>
      </c>
      <c r="I22" s="405">
        <v>1459477.91</v>
      </c>
      <c r="J22" s="405">
        <v>1632615.04</v>
      </c>
      <c r="K22" s="405">
        <v>1565753.34</v>
      </c>
      <c r="L22" s="405">
        <v>1928000.9100000001</v>
      </c>
      <c r="M22" s="405">
        <v>1814199.75</v>
      </c>
      <c r="N22" s="440">
        <v>16192988.889999997</v>
      </c>
      <c r="O22" s="405">
        <v>1121926</v>
      </c>
      <c r="P22" s="405">
        <v>1702643</v>
      </c>
      <c r="Q22" s="405">
        <v>3718034.1099999994</v>
      </c>
      <c r="R22" s="441">
        <v>22735591.999999996</v>
      </c>
    </row>
    <row r="23" spans="2:18" ht="27" hidden="1" x14ac:dyDescent="0.25">
      <c r="B23" t="s">
        <v>408</v>
      </c>
      <c r="C23" s="468" t="s">
        <v>149</v>
      </c>
      <c r="D23" s="435" t="s">
        <v>150</v>
      </c>
      <c r="E23" s="405">
        <v>892250.52999999991</v>
      </c>
      <c r="F23" s="405">
        <v>1363690</v>
      </c>
      <c r="G23" s="405">
        <v>431042.66000000003</v>
      </c>
      <c r="H23" s="405">
        <v>998118.83</v>
      </c>
      <c r="I23" s="405">
        <v>501667.78</v>
      </c>
      <c r="J23" s="405">
        <v>595971.06999999995</v>
      </c>
      <c r="K23" s="405">
        <v>711682.1</v>
      </c>
      <c r="L23" s="405">
        <v>885597.36</v>
      </c>
      <c r="M23" s="405">
        <v>469808.39</v>
      </c>
      <c r="N23" s="440">
        <v>6849828.7199999997</v>
      </c>
      <c r="O23" s="405">
        <v>754023</v>
      </c>
      <c r="P23" s="405">
        <v>686672</v>
      </c>
      <c r="Q23" s="405">
        <v>328428.61000000127</v>
      </c>
      <c r="R23" s="441">
        <v>8618952.3300000019</v>
      </c>
    </row>
    <row r="24" spans="2:18" ht="14.25" hidden="1" x14ac:dyDescent="0.25">
      <c r="C24" s="468" t="s">
        <v>242</v>
      </c>
      <c r="D24" s="83"/>
      <c r="E24" s="439">
        <v>0</v>
      </c>
      <c r="F24" s="439">
        <v>0</v>
      </c>
      <c r="G24" s="439">
        <v>0</v>
      </c>
      <c r="H24" s="439">
        <v>0</v>
      </c>
      <c r="I24" s="439">
        <v>0</v>
      </c>
      <c r="J24" s="439">
        <v>0</v>
      </c>
      <c r="K24" s="439">
        <v>0</v>
      </c>
      <c r="L24" s="439">
        <v>0</v>
      </c>
      <c r="M24" s="439">
        <v>0</v>
      </c>
      <c r="N24" s="440">
        <v>0</v>
      </c>
      <c r="O24" s="439">
        <v>0</v>
      </c>
      <c r="P24" s="439">
        <v>0</v>
      </c>
      <c r="Q24" s="439">
        <v>0</v>
      </c>
      <c r="R24" s="441">
        <v>0</v>
      </c>
    </row>
    <row r="25" spans="2:18" ht="27" hidden="1" x14ac:dyDescent="0.25">
      <c r="B25" t="s">
        <v>408</v>
      </c>
      <c r="C25" s="468" t="s">
        <v>146</v>
      </c>
      <c r="D25" s="435" t="s">
        <v>147</v>
      </c>
      <c r="E25" s="439">
        <v>12631.490000000002</v>
      </c>
      <c r="F25" s="439">
        <v>24730.32</v>
      </c>
      <c r="G25" s="439">
        <v>28856.98</v>
      </c>
      <c r="H25" s="439">
        <v>55035.14</v>
      </c>
      <c r="I25" s="439">
        <v>51681.57</v>
      </c>
      <c r="J25" s="439">
        <v>55370.86</v>
      </c>
      <c r="K25" s="439">
        <v>28012.7</v>
      </c>
      <c r="L25" s="439">
        <v>46302.380000000005</v>
      </c>
      <c r="M25" s="439">
        <v>63912.740000000005</v>
      </c>
      <c r="N25" s="440">
        <v>366534.18</v>
      </c>
      <c r="O25" s="439">
        <v>122814</v>
      </c>
      <c r="P25" s="439">
        <v>28502</v>
      </c>
      <c r="Q25" s="439">
        <v>207699.26</v>
      </c>
      <c r="R25" s="441">
        <v>725549.44</v>
      </c>
    </row>
    <row r="26" spans="2:18" ht="14.25" hidden="1" x14ac:dyDescent="0.25">
      <c r="C26" s="468" t="s">
        <v>245</v>
      </c>
      <c r="D26" s="442"/>
      <c r="E26" s="439">
        <v>0</v>
      </c>
      <c r="F26" s="439">
        <v>0</v>
      </c>
      <c r="G26" s="439">
        <v>0</v>
      </c>
      <c r="H26" s="439">
        <v>0</v>
      </c>
      <c r="I26" s="439">
        <v>0</v>
      </c>
      <c r="J26" s="439">
        <v>0</v>
      </c>
      <c r="K26" s="439">
        <v>0</v>
      </c>
      <c r="L26" s="439">
        <v>0</v>
      </c>
      <c r="M26" s="439">
        <v>0</v>
      </c>
      <c r="N26" s="440">
        <v>0</v>
      </c>
      <c r="O26" s="439">
        <v>0</v>
      </c>
      <c r="P26" s="439">
        <v>0</v>
      </c>
      <c r="Q26" s="439">
        <v>0</v>
      </c>
      <c r="R26" s="441">
        <v>0</v>
      </c>
    </row>
    <row r="27" spans="2:18" ht="27" hidden="1" x14ac:dyDescent="0.25">
      <c r="B27" t="s">
        <v>655</v>
      </c>
      <c r="C27" s="468" t="s">
        <v>176</v>
      </c>
      <c r="D27" s="435" t="s">
        <v>177</v>
      </c>
      <c r="E27" s="439">
        <v>180855.49</v>
      </c>
      <c r="F27" s="439">
        <v>110736.61000000002</v>
      </c>
      <c r="G27" s="439">
        <v>75753.279999999999</v>
      </c>
      <c r="H27" s="439">
        <v>93954.16</v>
      </c>
      <c r="I27" s="439">
        <v>96273.89</v>
      </c>
      <c r="J27" s="439">
        <v>77479.14</v>
      </c>
      <c r="K27" s="439">
        <v>345018.82</v>
      </c>
      <c r="L27" s="439">
        <v>40147.1</v>
      </c>
      <c r="M27" s="439">
        <v>67633.11</v>
      </c>
      <c r="N27" s="440">
        <v>1087851.6000000001</v>
      </c>
      <c r="O27" s="439">
        <v>134191</v>
      </c>
      <c r="P27" s="439">
        <v>324746</v>
      </c>
      <c r="Q27" s="439">
        <v>860137.89000000013</v>
      </c>
      <c r="R27" s="441">
        <v>2406926.4900000002</v>
      </c>
    </row>
    <row r="28" spans="2:18" ht="14.25" hidden="1" x14ac:dyDescent="0.25">
      <c r="C28" s="468" t="s">
        <v>248</v>
      </c>
      <c r="D28" s="442"/>
      <c r="E28" s="439">
        <v>0</v>
      </c>
      <c r="F28" s="439">
        <v>0</v>
      </c>
      <c r="G28" s="439">
        <v>0</v>
      </c>
      <c r="H28" s="439">
        <v>0</v>
      </c>
      <c r="I28" s="439">
        <v>0</v>
      </c>
      <c r="J28" s="439">
        <v>0</v>
      </c>
      <c r="K28" s="439">
        <v>0</v>
      </c>
      <c r="L28" s="439">
        <v>0</v>
      </c>
      <c r="M28" s="439">
        <v>0</v>
      </c>
      <c r="N28" s="440">
        <v>0</v>
      </c>
      <c r="O28" s="439">
        <v>0</v>
      </c>
      <c r="P28" s="439">
        <v>0</v>
      </c>
      <c r="Q28" s="439">
        <v>0</v>
      </c>
      <c r="R28" s="441">
        <v>0</v>
      </c>
    </row>
    <row r="29" spans="2:18" ht="121.5" x14ac:dyDescent="0.25">
      <c r="B29" t="s">
        <v>408</v>
      </c>
      <c r="C29" s="468" t="s">
        <v>250</v>
      </c>
      <c r="D29" s="435" t="s">
        <v>133</v>
      </c>
      <c r="E29" s="439">
        <v>0</v>
      </c>
      <c r="F29" s="439">
        <v>0</v>
      </c>
      <c r="G29" s="439">
        <v>0</v>
      </c>
      <c r="H29" s="439">
        <v>133715</v>
      </c>
      <c r="I29" s="439">
        <v>203547.90000000002</v>
      </c>
      <c r="J29" s="439">
        <v>9603.1799999999785</v>
      </c>
      <c r="K29" s="439">
        <v>185373.75</v>
      </c>
      <c r="L29" s="439">
        <v>203769.53</v>
      </c>
      <c r="M29" s="439">
        <v>101798.68</v>
      </c>
      <c r="N29" s="440">
        <v>837808.04</v>
      </c>
      <c r="O29" s="439">
        <v>173504</v>
      </c>
      <c r="P29" s="439">
        <v>165924</v>
      </c>
      <c r="Q29" s="439">
        <v>126489.32000000007</v>
      </c>
      <c r="R29" s="441">
        <v>1303725.3600000001</v>
      </c>
    </row>
    <row r="30" spans="2:18" ht="14.25" hidden="1" x14ac:dyDescent="0.25">
      <c r="C30" s="468" t="s">
        <v>252</v>
      </c>
      <c r="D30" s="442"/>
      <c r="E30" s="439">
        <v>0</v>
      </c>
      <c r="F30" s="439">
        <v>0</v>
      </c>
      <c r="G30" s="439">
        <v>0</v>
      </c>
      <c r="H30" s="439">
        <v>0</v>
      </c>
      <c r="I30" s="439">
        <v>0</v>
      </c>
      <c r="J30" s="439">
        <v>0</v>
      </c>
      <c r="K30" s="439">
        <v>0</v>
      </c>
      <c r="L30" s="439">
        <v>0</v>
      </c>
      <c r="M30" s="439">
        <v>0</v>
      </c>
      <c r="N30" s="440">
        <v>0</v>
      </c>
      <c r="O30" s="439">
        <v>0</v>
      </c>
      <c r="P30" s="439">
        <v>0</v>
      </c>
      <c r="Q30" s="439">
        <v>0</v>
      </c>
      <c r="R30" s="441">
        <v>0</v>
      </c>
    </row>
    <row r="31" spans="2:18" ht="14.25" hidden="1" x14ac:dyDescent="0.25">
      <c r="B31" s="464"/>
      <c r="C31" s="475" t="s">
        <v>658</v>
      </c>
      <c r="D31" s="464"/>
      <c r="E31" s="465">
        <v>4804442.8400000008</v>
      </c>
      <c r="F31" s="465">
        <v>6810806.6799999997</v>
      </c>
      <c r="G31" s="465">
        <v>5773579.6399999997</v>
      </c>
      <c r="H31" s="465">
        <v>5819775.1699999999</v>
      </c>
      <c r="I31" s="465">
        <v>5250061.87</v>
      </c>
      <c r="J31" s="465">
        <v>4672193.45</v>
      </c>
      <c r="K31" s="465">
        <v>5478208.1699999999</v>
      </c>
      <c r="L31" s="465">
        <v>5796252.0600000005</v>
      </c>
      <c r="M31" s="465">
        <v>5593758.6299999999</v>
      </c>
      <c r="N31" s="466">
        <v>49999078.510000005</v>
      </c>
      <c r="O31" s="465">
        <v>5933449.1600000001</v>
      </c>
      <c r="P31" s="465">
        <v>5484792.4500000002</v>
      </c>
      <c r="Q31" s="465">
        <v>6916316.8700000029</v>
      </c>
      <c r="R31" s="465">
        <v>68333636.99000001</v>
      </c>
    </row>
    <row r="32" spans="2:18" ht="14.25" hidden="1" x14ac:dyDescent="0.25">
      <c r="B32" t="s">
        <v>655</v>
      </c>
      <c r="C32" s="468" t="s">
        <v>178</v>
      </c>
      <c r="D32" s="435" t="s">
        <v>179</v>
      </c>
      <c r="E32" s="439">
        <v>11097.8</v>
      </c>
      <c r="F32" s="439">
        <v>8645.94</v>
      </c>
      <c r="G32" s="439">
        <v>9803.2900000000009</v>
      </c>
      <c r="H32" s="439">
        <v>40917.229999999996</v>
      </c>
      <c r="I32" s="439">
        <v>17921.102228999996</v>
      </c>
      <c r="J32" s="439">
        <v>44905.64</v>
      </c>
      <c r="K32" s="439">
        <v>14891.63</v>
      </c>
      <c r="L32" s="439">
        <v>35655.599999999999</v>
      </c>
      <c r="M32" s="439">
        <v>35872.869999999995</v>
      </c>
      <c r="N32" s="440">
        <v>219711.10222899998</v>
      </c>
      <c r="O32" s="439">
        <v>35384</v>
      </c>
      <c r="P32" s="439">
        <v>35329</v>
      </c>
      <c r="Q32" s="439">
        <v>1105499.1299999999</v>
      </c>
      <c r="R32" s="441">
        <v>1395923.232229</v>
      </c>
    </row>
    <row r="33" spans="2:18" ht="14.25" hidden="1" x14ac:dyDescent="0.25">
      <c r="B33" t="s">
        <v>408</v>
      </c>
      <c r="C33" s="468" t="s">
        <v>142</v>
      </c>
      <c r="D33" s="435" t="s">
        <v>142</v>
      </c>
      <c r="E33" s="439">
        <v>11165.96</v>
      </c>
      <c r="F33" s="439">
        <v>8616.42</v>
      </c>
      <c r="G33" s="439">
        <v>6803.29</v>
      </c>
      <c r="H33" s="439">
        <v>39278.85</v>
      </c>
      <c r="I33" s="439">
        <v>19527.900000000001</v>
      </c>
      <c r="J33" s="439">
        <v>15532.05</v>
      </c>
      <c r="K33" s="439">
        <v>11859.92</v>
      </c>
      <c r="L33" s="439">
        <v>28672.91</v>
      </c>
      <c r="M33" s="439">
        <v>33598.829999999994</v>
      </c>
      <c r="N33" s="440">
        <v>175056.12999999998</v>
      </c>
      <c r="O33" s="439">
        <v>33900</v>
      </c>
      <c r="P33" s="439">
        <v>3482300</v>
      </c>
      <c r="Q33" s="439">
        <v>62870.169999999925</v>
      </c>
      <c r="R33" s="441">
        <v>3754126.3</v>
      </c>
    </row>
    <row r="34" spans="2:18" ht="27" hidden="1" x14ac:dyDescent="0.25">
      <c r="B34" t="s">
        <v>654</v>
      </c>
      <c r="C34" s="468" t="s">
        <v>257</v>
      </c>
      <c r="D34" s="444" t="s">
        <v>445</v>
      </c>
      <c r="E34" s="439">
        <v>232568.14</v>
      </c>
      <c r="F34" s="439">
        <v>1061000</v>
      </c>
      <c r="G34" s="439">
        <v>1124100</v>
      </c>
      <c r="H34" s="439">
        <v>0</v>
      </c>
      <c r="I34" s="439">
        <v>0</v>
      </c>
      <c r="J34" s="439">
        <v>0</v>
      </c>
      <c r="K34" s="439">
        <v>20000</v>
      </c>
      <c r="L34" s="439">
        <v>-20000</v>
      </c>
      <c r="M34" s="439">
        <v>0</v>
      </c>
      <c r="N34" s="440">
        <v>2417668.14</v>
      </c>
      <c r="O34" s="439">
        <v>0</v>
      </c>
      <c r="P34" s="439">
        <v>2000000</v>
      </c>
      <c r="Q34" s="439">
        <v>0</v>
      </c>
      <c r="R34" s="441">
        <v>4417668.1400000006</v>
      </c>
    </row>
    <row r="35" spans="2:18" ht="27" hidden="1" x14ac:dyDescent="0.25">
      <c r="B35" t="s">
        <v>408</v>
      </c>
      <c r="C35" s="468" t="s">
        <v>123</v>
      </c>
      <c r="D35" s="435" t="s">
        <v>124</v>
      </c>
      <c r="E35" s="439">
        <v>515823.33</v>
      </c>
      <c r="F35" s="439">
        <v>515823.33</v>
      </c>
      <c r="G35" s="439">
        <v>516023.33</v>
      </c>
      <c r="H35" s="439">
        <v>515823.33</v>
      </c>
      <c r="I35" s="439">
        <v>519897.53</v>
      </c>
      <c r="J35" s="439">
        <v>517850</v>
      </c>
      <c r="K35" s="439">
        <v>517762.93</v>
      </c>
      <c r="L35" s="439">
        <v>517793.5</v>
      </c>
      <c r="M35" s="439">
        <v>518356.81999999995</v>
      </c>
      <c r="N35" s="440">
        <v>4655154.1000000006</v>
      </c>
      <c r="O35" s="439">
        <v>517823.82</v>
      </c>
      <c r="P35" s="439">
        <v>517823.82</v>
      </c>
      <c r="Q35" s="439">
        <v>517836.82</v>
      </c>
      <c r="R35" s="441">
        <v>6208638.5600000015</v>
      </c>
    </row>
    <row r="36" spans="2:18" ht="14.25" hidden="1" x14ac:dyDescent="0.25">
      <c r="B36" s="464"/>
      <c r="C36" s="475" t="s">
        <v>658</v>
      </c>
      <c r="D36" s="464"/>
      <c r="E36" s="465">
        <v>770655.23</v>
      </c>
      <c r="F36" s="465">
        <v>1594085.6900000002</v>
      </c>
      <c r="G36" s="465">
        <v>1656729.9100000001</v>
      </c>
      <c r="H36" s="465">
        <v>596019.41</v>
      </c>
      <c r="I36" s="465">
        <v>557346.532229</v>
      </c>
      <c r="J36" s="465">
        <v>578287.68999999994</v>
      </c>
      <c r="K36" s="465">
        <v>564514.48</v>
      </c>
      <c r="L36" s="465">
        <v>562122.01</v>
      </c>
      <c r="M36" s="465">
        <v>587828.5199999999</v>
      </c>
      <c r="N36" s="466">
        <v>7467589.4722290002</v>
      </c>
      <c r="O36" s="465">
        <v>587107.82000000007</v>
      </c>
      <c r="P36" s="465">
        <v>6035452.8200000003</v>
      </c>
      <c r="Q36" s="465">
        <v>1686206.1199999999</v>
      </c>
      <c r="R36" s="465">
        <v>15776356.232229</v>
      </c>
    </row>
    <row r="37" spans="2:18" ht="14.25" hidden="1" x14ac:dyDescent="0.25">
      <c r="C37" s="469"/>
      <c r="D37" s="442"/>
      <c r="E37" s="445">
        <v>0</v>
      </c>
      <c r="F37" s="445">
        <v>0</v>
      </c>
      <c r="G37" s="445">
        <v>0</v>
      </c>
      <c r="H37" s="445">
        <v>0</v>
      </c>
      <c r="I37" s="445">
        <v>0</v>
      </c>
      <c r="J37" s="445">
        <v>0</v>
      </c>
      <c r="K37" s="445">
        <v>0</v>
      </c>
      <c r="L37" s="445">
        <v>0</v>
      </c>
      <c r="M37" s="445">
        <v>0</v>
      </c>
      <c r="N37" s="440">
        <v>0</v>
      </c>
      <c r="O37" s="445">
        <v>0</v>
      </c>
      <c r="P37" s="445">
        <v>0</v>
      </c>
      <c r="Q37" s="445">
        <v>0</v>
      </c>
      <c r="R37" s="445">
        <v>0</v>
      </c>
    </row>
    <row r="38" spans="2:18" ht="14.25" hidden="1" x14ac:dyDescent="0.25">
      <c r="B38" t="s">
        <v>648</v>
      </c>
      <c r="C38" s="470"/>
      <c r="D38" t="s">
        <v>648</v>
      </c>
      <c r="E38" s="446">
        <v>310106.48</v>
      </c>
      <c r="F38" s="446">
        <v>291884.89</v>
      </c>
      <c r="G38" s="446">
        <v>299197.87000000005</v>
      </c>
      <c r="H38" s="446">
        <v>311724.64000000007</v>
      </c>
      <c r="I38" s="446">
        <v>310308.38</v>
      </c>
      <c r="J38" s="446">
        <v>277487.73</v>
      </c>
      <c r="K38" s="446">
        <v>331050</v>
      </c>
      <c r="L38" s="446">
        <v>331345.72000000003</v>
      </c>
      <c r="M38" s="446">
        <v>316832.42000000022</v>
      </c>
      <c r="N38" s="440">
        <v>2779938.1300000008</v>
      </c>
      <c r="O38" s="446">
        <v>254662.18572679191</v>
      </c>
      <c r="P38" s="446">
        <v>206266.49961812043</v>
      </c>
      <c r="Q38" s="446">
        <v>193989</v>
      </c>
      <c r="R38" s="446">
        <v>3434855.8153449134</v>
      </c>
    </row>
    <row r="39" spans="2:18" ht="14.25" hidden="1" x14ac:dyDescent="0.25">
      <c r="B39" s="467"/>
      <c r="C39" s="475" t="s">
        <v>658</v>
      </c>
      <c r="D39" s="467"/>
      <c r="E39" s="447">
        <v>9571133.5200000014</v>
      </c>
      <c r="F39" s="447">
        <v>11509911.219999999</v>
      </c>
      <c r="G39" s="447">
        <v>12692342.559999999</v>
      </c>
      <c r="H39" s="447">
        <v>11801917.039999999</v>
      </c>
      <c r="I39" s="447">
        <v>11890177.902229</v>
      </c>
      <c r="J39" s="447">
        <v>12025448.390000001</v>
      </c>
      <c r="K39" s="447">
        <v>13120995.060000001</v>
      </c>
      <c r="L39" s="447">
        <v>14773622.220000001</v>
      </c>
      <c r="M39" s="447">
        <v>14148303.51</v>
      </c>
      <c r="N39" s="450">
        <v>111533851.42222901</v>
      </c>
      <c r="O39" s="447">
        <v>14989786.209551757</v>
      </c>
      <c r="P39" s="447">
        <v>20924249.984429043</v>
      </c>
      <c r="Q39" s="447">
        <v>17769931.729877643</v>
      </c>
      <c r="R39" s="448">
        <v>165217819.34608746</v>
      </c>
    </row>
    <row r="40" spans="2:18" ht="14.25" hidden="1" x14ac:dyDescent="0.25">
      <c r="B40" t="s">
        <v>656</v>
      </c>
      <c r="C40" s="468" t="s">
        <v>39</v>
      </c>
      <c r="D40" s="435" t="s">
        <v>76</v>
      </c>
      <c r="E40" s="439">
        <v>2884.26</v>
      </c>
      <c r="F40" s="439">
        <v>2666.8</v>
      </c>
      <c r="G40" s="439">
        <v>2757.24</v>
      </c>
      <c r="H40" s="439">
        <v>2666.8</v>
      </c>
      <c r="I40" s="439">
        <v>10225.94</v>
      </c>
      <c r="J40" s="439">
        <v>8623.34</v>
      </c>
      <c r="K40" s="439">
        <v>10892.62</v>
      </c>
      <c r="L40" s="439">
        <v>9077.17</v>
      </c>
      <c r="M40" s="439">
        <v>8621.0400000000009</v>
      </c>
      <c r="N40" s="440">
        <v>58415.21</v>
      </c>
      <c r="O40" s="439">
        <v>0</v>
      </c>
      <c r="P40" s="439">
        <v>0</v>
      </c>
      <c r="Q40" s="439">
        <v>-8415.0400000000009</v>
      </c>
      <c r="R40" s="440">
        <v>50000.17</v>
      </c>
    </row>
    <row r="41" spans="2:18" ht="14.25" hidden="1" x14ac:dyDescent="0.25">
      <c r="B41" t="s">
        <v>656</v>
      </c>
      <c r="C41" s="468" t="s">
        <v>44</v>
      </c>
      <c r="D41" s="436" t="s">
        <v>45</v>
      </c>
      <c r="E41" s="439">
        <v>2097087.5999999999</v>
      </c>
      <c r="F41" s="439">
        <v>6442321.2699999996</v>
      </c>
      <c r="G41" s="439">
        <v>3747536.92</v>
      </c>
      <c r="H41" s="439">
        <v>3429942.1699999995</v>
      </c>
      <c r="I41" s="439">
        <v>2817059.37</v>
      </c>
      <c r="J41" s="439">
        <v>5313859.7399999993</v>
      </c>
      <c r="K41" s="439">
        <v>3456526.63</v>
      </c>
      <c r="L41" s="439">
        <v>3626818.5100000002</v>
      </c>
      <c r="M41" s="439">
        <v>2897328.16</v>
      </c>
      <c r="N41" s="440">
        <v>33828480.369999997</v>
      </c>
      <c r="O41" s="439">
        <v>5526841</v>
      </c>
      <c r="P41" s="439">
        <v>4741587</v>
      </c>
      <c r="Q41" s="439">
        <v>6610869.840000011</v>
      </c>
      <c r="R41" s="440">
        <v>50707778.210000008</v>
      </c>
    </row>
    <row r="42" spans="2:18" ht="14.25" hidden="1" x14ac:dyDescent="0.25">
      <c r="B42" t="s">
        <v>657</v>
      </c>
      <c r="C42" s="468" t="s">
        <v>81</v>
      </c>
      <c r="D42" s="436" t="s">
        <v>82</v>
      </c>
      <c r="E42" s="439">
        <v>809835.52000000002</v>
      </c>
      <c r="F42" s="439">
        <v>894005.14</v>
      </c>
      <c r="G42" s="439">
        <v>368429.49</v>
      </c>
      <c r="H42" s="439">
        <v>414293.05</v>
      </c>
      <c r="I42" s="439">
        <v>444753.9</v>
      </c>
      <c r="J42" s="439">
        <v>810780.81</v>
      </c>
      <c r="K42" s="439">
        <v>498398.47</v>
      </c>
      <c r="L42" s="439">
        <v>661874.15</v>
      </c>
      <c r="M42" s="439">
        <v>861129.48</v>
      </c>
      <c r="N42" s="440">
        <v>5763500.0099999998</v>
      </c>
      <c r="O42" s="439">
        <v>1365241</v>
      </c>
      <c r="P42" s="439">
        <v>2158421</v>
      </c>
      <c r="Q42" s="439">
        <v>2248528.5199999996</v>
      </c>
      <c r="R42" s="440">
        <v>11535690.529999999</v>
      </c>
    </row>
    <row r="43" spans="2:18" ht="14.25" hidden="1" x14ac:dyDescent="0.25">
      <c r="B43" t="s">
        <v>656</v>
      </c>
      <c r="C43" s="468" t="s">
        <v>28</v>
      </c>
      <c r="D43" s="435" t="s">
        <v>51</v>
      </c>
      <c r="E43" s="439">
        <v>3338120.0300000003</v>
      </c>
      <c r="F43" s="439">
        <v>2721664.94</v>
      </c>
      <c r="G43" s="439">
        <v>3742371.8200000003</v>
      </c>
      <c r="H43" s="439">
        <v>3838983.6</v>
      </c>
      <c r="I43" s="439">
        <v>3945186.45</v>
      </c>
      <c r="J43" s="439">
        <v>3437124.9</v>
      </c>
      <c r="K43" s="439">
        <v>3350969.78</v>
      </c>
      <c r="L43" s="439">
        <v>3332579.9800000004</v>
      </c>
      <c r="M43" s="439">
        <v>4762676.34</v>
      </c>
      <c r="N43" s="440">
        <v>32469677.84</v>
      </c>
      <c r="O43" s="439">
        <v>4593722.32</v>
      </c>
      <c r="P43" s="439">
        <v>15135077.699999999</v>
      </c>
      <c r="Q43" s="439">
        <v>16244220.889999995</v>
      </c>
      <c r="R43" s="440">
        <v>68442698.75</v>
      </c>
    </row>
    <row r="44" spans="2:18" ht="14.25" hidden="1" x14ac:dyDescent="0.25">
      <c r="B44" t="s">
        <v>657</v>
      </c>
      <c r="C44" s="468" t="s">
        <v>87</v>
      </c>
      <c r="D44" s="435" t="s">
        <v>88</v>
      </c>
      <c r="E44" s="439">
        <v>191535.44</v>
      </c>
      <c r="F44" s="439">
        <v>203311.61</v>
      </c>
      <c r="G44" s="439">
        <v>328772.69</v>
      </c>
      <c r="H44" s="439">
        <v>339173.83</v>
      </c>
      <c r="I44" s="439">
        <v>745463.11</v>
      </c>
      <c r="J44" s="439">
        <v>947305.52</v>
      </c>
      <c r="K44" s="439">
        <v>1259180.0599999998</v>
      </c>
      <c r="L44" s="439">
        <v>673281.79</v>
      </c>
      <c r="M44" s="439">
        <v>584748.45000000007</v>
      </c>
      <c r="N44" s="440">
        <v>5272772.5</v>
      </c>
      <c r="O44" s="439">
        <v>607632.08000000007</v>
      </c>
      <c r="P44" s="439">
        <v>1834065.56</v>
      </c>
      <c r="Q44" s="439">
        <v>1569436.5999999996</v>
      </c>
      <c r="R44" s="440">
        <v>9283906.7400000002</v>
      </c>
    </row>
    <row r="45" spans="2:18" ht="14.25" hidden="1" x14ac:dyDescent="0.25">
      <c r="C45" s="468" t="s">
        <v>271</v>
      </c>
      <c r="D45" s="442"/>
      <c r="E45" s="439">
        <v>0</v>
      </c>
      <c r="F45" s="439">
        <v>0</v>
      </c>
      <c r="G45" s="439">
        <v>0</v>
      </c>
      <c r="H45" s="439">
        <v>0</v>
      </c>
      <c r="I45" s="439">
        <v>0</v>
      </c>
      <c r="J45" s="439">
        <v>0</v>
      </c>
      <c r="K45" s="439">
        <v>0</v>
      </c>
      <c r="L45" s="439">
        <v>0</v>
      </c>
      <c r="M45" s="439">
        <v>0</v>
      </c>
      <c r="N45" s="440">
        <v>0</v>
      </c>
      <c r="O45" s="439">
        <v>0</v>
      </c>
      <c r="P45" s="439">
        <v>0</v>
      </c>
      <c r="Q45" s="439">
        <v>0</v>
      </c>
      <c r="R45" s="440">
        <v>0</v>
      </c>
    </row>
    <row r="46" spans="2:18" ht="14.25" hidden="1" x14ac:dyDescent="0.25">
      <c r="C46" s="468" t="s">
        <v>273</v>
      </c>
      <c r="D46" s="442"/>
      <c r="E46" s="439">
        <v>0</v>
      </c>
      <c r="F46" s="439">
        <v>0</v>
      </c>
      <c r="G46" s="439">
        <v>0</v>
      </c>
      <c r="H46" s="439">
        <v>0</v>
      </c>
      <c r="I46" s="439">
        <v>0</v>
      </c>
      <c r="J46" s="439">
        <v>0</v>
      </c>
      <c r="K46" s="439">
        <v>0</v>
      </c>
      <c r="L46" s="439">
        <v>0</v>
      </c>
      <c r="M46" s="439">
        <v>0</v>
      </c>
      <c r="N46" s="440">
        <v>0</v>
      </c>
      <c r="O46" s="439">
        <v>0</v>
      </c>
      <c r="P46" s="439">
        <v>0</v>
      </c>
      <c r="Q46" s="439">
        <v>0</v>
      </c>
      <c r="R46" s="440">
        <v>0</v>
      </c>
    </row>
    <row r="47" spans="2:18" ht="14.25" hidden="1" x14ac:dyDescent="0.25">
      <c r="B47" s="464"/>
      <c r="C47" s="475" t="s">
        <v>658</v>
      </c>
      <c r="D47" s="464"/>
      <c r="E47" s="465">
        <v>6439462.8500000006</v>
      </c>
      <c r="F47" s="465">
        <v>10263969.759999998</v>
      </c>
      <c r="G47" s="465">
        <v>8189868.1600000011</v>
      </c>
      <c r="H47" s="465">
        <v>8025059.4499999993</v>
      </c>
      <c r="I47" s="465">
        <v>7962688.7700000005</v>
      </c>
      <c r="J47" s="465">
        <v>10517694.309999999</v>
      </c>
      <c r="K47" s="465">
        <v>8575967.5600000005</v>
      </c>
      <c r="L47" s="465">
        <v>8303631.6000000006</v>
      </c>
      <c r="M47" s="465">
        <v>9114503.4699999988</v>
      </c>
      <c r="N47" s="466">
        <v>77392845.929999992</v>
      </c>
      <c r="O47" s="465">
        <v>12093436.4</v>
      </c>
      <c r="P47" s="465">
        <v>23869151.259999998</v>
      </c>
      <c r="Q47" s="465">
        <v>26664640.81000001</v>
      </c>
      <c r="R47" s="465">
        <v>140020074.40000001</v>
      </c>
    </row>
    <row r="48" spans="2:18" ht="14.25" hidden="1" x14ac:dyDescent="0.25">
      <c r="B48" t="s">
        <v>656</v>
      </c>
      <c r="C48" s="468" t="s">
        <v>74</v>
      </c>
      <c r="D48" s="435" t="s">
        <v>75</v>
      </c>
      <c r="E48" s="439">
        <v>221673.35000000003</v>
      </c>
      <c r="F48" s="439">
        <v>711431.07000000007</v>
      </c>
      <c r="G48" s="439">
        <v>719713.22999999986</v>
      </c>
      <c r="H48" s="439">
        <v>569515.17000000004</v>
      </c>
      <c r="I48" s="439">
        <v>224140.38</v>
      </c>
      <c r="J48" s="439">
        <v>155693.89000000001</v>
      </c>
      <c r="K48" s="439">
        <v>646903.68000000005</v>
      </c>
      <c r="L48" s="439">
        <v>190133.34000000003</v>
      </c>
      <c r="M48" s="439">
        <v>170452.68</v>
      </c>
      <c r="N48" s="440">
        <v>3609656.79</v>
      </c>
      <c r="O48" s="439">
        <v>2106930.83</v>
      </c>
      <c r="P48" s="439">
        <v>758358.87</v>
      </c>
      <c r="Q48" s="439">
        <v>1198153.2999999998</v>
      </c>
      <c r="R48" s="440">
        <v>7673099.79</v>
      </c>
    </row>
    <row r="49" spans="2:18" ht="14.25" hidden="1" x14ac:dyDescent="0.25">
      <c r="B49" t="s">
        <v>657</v>
      </c>
      <c r="C49" s="468" t="s">
        <v>107</v>
      </c>
      <c r="D49" s="435" t="s">
        <v>108</v>
      </c>
      <c r="E49" s="439">
        <v>-35382.560000000012</v>
      </c>
      <c r="F49" s="439">
        <v>474573.88000000006</v>
      </c>
      <c r="G49" s="439">
        <v>462585.76</v>
      </c>
      <c r="H49" s="439">
        <v>177667.08000000002</v>
      </c>
      <c r="I49" s="439">
        <v>-30789.859999999997</v>
      </c>
      <c r="J49" s="439">
        <v>32669.66</v>
      </c>
      <c r="K49" s="439">
        <v>114651.40000000001</v>
      </c>
      <c r="L49" s="439">
        <v>12276.66</v>
      </c>
      <c r="M49" s="439">
        <v>42665.899999999994</v>
      </c>
      <c r="N49" s="440">
        <v>1250917.9199999997</v>
      </c>
      <c r="O49" s="439">
        <v>621734.17000000004</v>
      </c>
      <c r="P49" s="439">
        <v>550618.75</v>
      </c>
      <c r="Q49" s="439">
        <v>435419.50999999943</v>
      </c>
      <c r="R49" s="440">
        <v>2858690.3499999992</v>
      </c>
    </row>
    <row r="50" spans="2:18" ht="27" hidden="1" x14ac:dyDescent="0.25">
      <c r="B50" t="s">
        <v>654</v>
      </c>
      <c r="C50" s="468" t="s">
        <v>277</v>
      </c>
      <c r="D50" s="444" t="s">
        <v>445</v>
      </c>
      <c r="E50" s="439">
        <v>0</v>
      </c>
      <c r="F50" s="439">
        <v>248000</v>
      </c>
      <c r="G50" s="439">
        <v>252000</v>
      </c>
      <c r="H50" s="439">
        <v>0</v>
      </c>
      <c r="I50" s="439">
        <v>0</v>
      </c>
      <c r="J50" s="439">
        <v>0</v>
      </c>
      <c r="K50" s="439">
        <v>0</v>
      </c>
      <c r="L50" s="439">
        <v>0</v>
      </c>
      <c r="M50" s="439">
        <v>0</v>
      </c>
      <c r="N50" s="440">
        <v>500000</v>
      </c>
      <c r="O50" s="439">
        <v>0</v>
      </c>
      <c r="P50" s="439">
        <v>0</v>
      </c>
      <c r="Q50" s="439">
        <v>0</v>
      </c>
      <c r="R50" s="440">
        <v>500000</v>
      </c>
    </row>
    <row r="51" spans="2:18" ht="14.25" hidden="1" x14ac:dyDescent="0.25">
      <c r="B51" t="s">
        <v>648</v>
      </c>
      <c r="C51" s="468" t="s">
        <v>279</v>
      </c>
      <c r="D51" t="s">
        <v>648</v>
      </c>
      <c r="E51" s="439">
        <v>0</v>
      </c>
      <c r="F51" s="439">
        <v>0</v>
      </c>
      <c r="G51" s="439">
        <v>0</v>
      </c>
      <c r="H51" s="439">
        <v>0</v>
      </c>
      <c r="I51" s="439">
        <v>0</v>
      </c>
      <c r="J51" s="439">
        <v>0</v>
      </c>
      <c r="K51" s="439">
        <v>0</v>
      </c>
      <c r="L51" s="439">
        <v>0</v>
      </c>
      <c r="M51" s="439">
        <v>12000</v>
      </c>
      <c r="N51" s="440">
        <v>12000</v>
      </c>
      <c r="O51" s="439">
        <v>25000</v>
      </c>
      <c r="P51" s="439">
        <v>0</v>
      </c>
      <c r="Q51" s="439">
        <v>-12000</v>
      </c>
      <c r="R51" s="440">
        <v>25000</v>
      </c>
    </row>
    <row r="52" spans="2:18" ht="26.25" hidden="1" x14ac:dyDescent="0.25">
      <c r="B52" s="449" t="s">
        <v>188</v>
      </c>
      <c r="C52" s="471" t="s">
        <v>187</v>
      </c>
      <c r="D52" s="449" t="s">
        <v>188</v>
      </c>
      <c r="E52" s="439">
        <v>0</v>
      </c>
      <c r="F52" s="439">
        <v>0</v>
      </c>
      <c r="G52" s="439">
        <v>0</v>
      </c>
      <c r="H52" s="439">
        <v>0</v>
      </c>
      <c r="I52" s="439">
        <v>0</v>
      </c>
      <c r="J52" s="439">
        <v>2688.94</v>
      </c>
      <c r="K52" s="439">
        <v>0</v>
      </c>
      <c r="L52" s="439">
        <v>0</v>
      </c>
      <c r="M52" s="439">
        <v>0</v>
      </c>
      <c r="N52" s="440">
        <v>2688.94</v>
      </c>
      <c r="O52" s="439">
        <v>15000.06</v>
      </c>
      <c r="P52" s="439">
        <v>0</v>
      </c>
      <c r="Q52" s="439">
        <v>0</v>
      </c>
      <c r="R52" s="439">
        <v>17689</v>
      </c>
    </row>
    <row r="53" spans="2:18" ht="14.25" hidden="1" x14ac:dyDescent="0.25">
      <c r="C53" s="471"/>
      <c r="E53" s="439">
        <v>0</v>
      </c>
      <c r="F53" s="439">
        <v>0</v>
      </c>
      <c r="G53" s="439">
        <v>0</v>
      </c>
      <c r="H53" s="439">
        <v>0</v>
      </c>
      <c r="I53" s="439">
        <v>0</v>
      </c>
      <c r="J53" s="439">
        <v>0</v>
      </c>
      <c r="K53" s="439">
        <v>0</v>
      </c>
      <c r="L53" s="439">
        <v>0</v>
      </c>
      <c r="M53" s="439">
        <v>0</v>
      </c>
      <c r="N53" s="440">
        <v>0</v>
      </c>
      <c r="O53" s="439">
        <v>0</v>
      </c>
      <c r="P53" s="439">
        <v>0</v>
      </c>
      <c r="Q53" s="439">
        <v>0</v>
      </c>
      <c r="R53" s="439">
        <v>0</v>
      </c>
    </row>
    <row r="54" spans="2:18" ht="14.25" hidden="1" x14ac:dyDescent="0.25">
      <c r="C54" s="471"/>
      <c r="E54" s="439">
        <v>0</v>
      </c>
      <c r="F54" s="439">
        <v>0</v>
      </c>
      <c r="G54" s="439">
        <v>0</v>
      </c>
      <c r="H54" s="439">
        <v>0</v>
      </c>
      <c r="I54" s="439">
        <v>0</v>
      </c>
      <c r="J54" s="439">
        <v>0</v>
      </c>
      <c r="K54" s="439">
        <v>0</v>
      </c>
      <c r="L54" s="439">
        <v>0</v>
      </c>
      <c r="M54" s="439">
        <v>0</v>
      </c>
      <c r="N54" s="440">
        <v>0</v>
      </c>
      <c r="O54" s="439">
        <v>0</v>
      </c>
      <c r="P54" s="439">
        <v>0</v>
      </c>
      <c r="Q54" s="439">
        <v>0</v>
      </c>
      <c r="R54" s="439">
        <v>0</v>
      </c>
    </row>
    <row r="55" spans="2:18" ht="14.25" hidden="1" x14ac:dyDescent="0.25">
      <c r="C55" s="475" t="s">
        <v>658</v>
      </c>
      <c r="E55" s="443">
        <v>186290.79000000004</v>
      </c>
      <c r="F55" s="443">
        <v>1434004.9500000002</v>
      </c>
      <c r="G55" s="443">
        <v>1434298.9899999998</v>
      </c>
      <c r="H55" s="443">
        <v>747182.25</v>
      </c>
      <c r="I55" s="443">
        <v>193350.52000000002</v>
      </c>
      <c r="J55" s="443">
        <v>191052.49000000002</v>
      </c>
      <c r="K55" s="443">
        <v>761555.08000000007</v>
      </c>
      <c r="L55" s="443">
        <v>202410.00000000003</v>
      </c>
      <c r="M55" s="443">
        <v>225118.58</v>
      </c>
      <c r="N55" s="440">
        <v>5375263.6500000004</v>
      </c>
      <c r="O55" s="443">
        <v>2768665.06</v>
      </c>
      <c r="P55" s="443">
        <v>1308977.6200000001</v>
      </c>
      <c r="Q55" s="443">
        <v>1621572.8099999991</v>
      </c>
      <c r="R55" s="443">
        <v>11074479.140000001</v>
      </c>
    </row>
    <row r="56" spans="2:18" ht="14.25" hidden="1" x14ac:dyDescent="0.25">
      <c r="B56" t="s">
        <v>656</v>
      </c>
      <c r="C56" s="468" t="s">
        <v>58</v>
      </c>
      <c r="D56" s="435" t="s">
        <v>59</v>
      </c>
      <c r="E56" s="405">
        <v>148477.56</v>
      </c>
      <c r="F56" s="405">
        <v>548352.15000000014</v>
      </c>
      <c r="G56" s="405">
        <v>451618.04999999993</v>
      </c>
      <c r="H56" s="405">
        <v>479366.40000000002</v>
      </c>
      <c r="I56" s="405">
        <v>1025330.0199999999</v>
      </c>
      <c r="J56" s="405">
        <v>1193516.7499999998</v>
      </c>
      <c r="K56" s="405">
        <v>886994.31</v>
      </c>
      <c r="L56" s="405">
        <v>1733753.56</v>
      </c>
      <c r="M56" s="405">
        <v>1088241.69</v>
      </c>
      <c r="N56" s="440">
        <v>7555650.4900000002</v>
      </c>
      <c r="O56" s="405">
        <v>1108408</v>
      </c>
      <c r="P56" s="405">
        <v>2065970</v>
      </c>
      <c r="Q56" s="405">
        <v>4220332.3100000005</v>
      </c>
      <c r="R56" s="441">
        <v>14950360.800000001</v>
      </c>
    </row>
    <row r="57" spans="2:18" ht="27" hidden="1" x14ac:dyDescent="0.25">
      <c r="B57" t="s">
        <v>656</v>
      </c>
      <c r="C57" s="468" t="s">
        <v>64</v>
      </c>
      <c r="D57" s="435" t="s">
        <v>65</v>
      </c>
      <c r="E57" s="439">
        <v>311941.02</v>
      </c>
      <c r="F57" s="439">
        <v>456747.96000000008</v>
      </c>
      <c r="G57" s="439">
        <v>878316.58000000007</v>
      </c>
      <c r="H57" s="439">
        <v>496833.06</v>
      </c>
      <c r="I57" s="439">
        <v>445725.57999999996</v>
      </c>
      <c r="J57" s="439">
        <v>737931.47</v>
      </c>
      <c r="K57" s="439">
        <v>518719.59</v>
      </c>
      <c r="L57" s="439">
        <v>579782.37</v>
      </c>
      <c r="M57" s="439">
        <v>694773.42000000016</v>
      </c>
      <c r="N57" s="440">
        <v>5120771.05</v>
      </c>
      <c r="O57" s="439">
        <v>768704.8</v>
      </c>
      <c r="P57" s="439">
        <v>627370.92999999993</v>
      </c>
      <c r="Q57" s="439">
        <v>1764703.7800000012</v>
      </c>
      <c r="R57" s="441">
        <v>8281550.5600000005</v>
      </c>
    </row>
    <row r="58" spans="2:18" ht="27" hidden="1" x14ac:dyDescent="0.25">
      <c r="B58" t="s">
        <v>657</v>
      </c>
      <c r="C58" s="468" t="s">
        <v>97</v>
      </c>
      <c r="D58" s="435" t="s">
        <v>98</v>
      </c>
      <c r="E58" s="439">
        <v>62807.840000000004</v>
      </c>
      <c r="F58" s="439">
        <v>65963.099999999991</v>
      </c>
      <c r="G58" s="439">
        <v>129092.42</v>
      </c>
      <c r="H58" s="439">
        <v>88700.81</v>
      </c>
      <c r="I58" s="439">
        <v>81244.190000000017</v>
      </c>
      <c r="J58" s="439">
        <v>122381.70999999999</v>
      </c>
      <c r="K58" s="439">
        <v>138701.03</v>
      </c>
      <c r="L58" s="439">
        <v>121749.84999999999</v>
      </c>
      <c r="M58" s="439">
        <v>130892.42</v>
      </c>
      <c r="N58" s="440">
        <v>941533.37</v>
      </c>
      <c r="O58" s="439">
        <v>128447</v>
      </c>
      <c r="P58" s="439">
        <v>211207.07</v>
      </c>
      <c r="Q58" s="439">
        <v>305292.33999999962</v>
      </c>
      <c r="R58" s="441">
        <v>1586479.7799999998</v>
      </c>
    </row>
    <row r="59" spans="2:18" ht="14.25" hidden="1" x14ac:dyDescent="0.25">
      <c r="B59" t="s">
        <v>656</v>
      </c>
      <c r="C59" s="468" t="s">
        <v>47</v>
      </c>
      <c r="D59" s="436" t="s">
        <v>48</v>
      </c>
      <c r="E59" s="439">
        <v>246086.71</v>
      </c>
      <c r="F59" s="439">
        <v>363033.74</v>
      </c>
      <c r="G59" s="439">
        <v>190380.94</v>
      </c>
      <c r="H59" s="439">
        <v>243293.4</v>
      </c>
      <c r="I59" s="439">
        <v>296031.02</v>
      </c>
      <c r="J59" s="439">
        <v>430736.17999999993</v>
      </c>
      <c r="K59" s="439">
        <v>676523.22</v>
      </c>
      <c r="L59" s="439">
        <v>337273.95</v>
      </c>
      <c r="M59" s="439">
        <v>871278.44999999984</v>
      </c>
      <c r="N59" s="440">
        <v>3654637.61</v>
      </c>
      <c r="O59" s="439">
        <v>1064047.0308244973</v>
      </c>
      <c r="P59" s="439">
        <v>1509245.2262514236</v>
      </c>
      <c r="Q59" s="439">
        <v>1453223.6182568902</v>
      </c>
      <c r="R59" s="441">
        <v>7681153.4853328103</v>
      </c>
    </row>
    <row r="60" spans="2:18" ht="14.25" hidden="1" x14ac:dyDescent="0.25">
      <c r="B60" t="s">
        <v>657</v>
      </c>
      <c r="C60" s="468" t="s">
        <v>84</v>
      </c>
      <c r="D60" s="436" t="s">
        <v>85</v>
      </c>
      <c r="E60" s="439">
        <v>10191.57</v>
      </c>
      <c r="F60" s="439">
        <v>35805.520000000004</v>
      </c>
      <c r="G60" s="439">
        <v>41138.28</v>
      </c>
      <c r="H60" s="439">
        <v>223760.56000000003</v>
      </c>
      <c r="I60" s="439">
        <v>70054.790000000008</v>
      </c>
      <c r="J60" s="439">
        <v>95617.43</v>
      </c>
      <c r="K60" s="439">
        <v>72510.929999999993</v>
      </c>
      <c r="L60" s="439">
        <v>46074.75</v>
      </c>
      <c r="M60" s="439">
        <v>46582.109999999993</v>
      </c>
      <c r="N60" s="440">
        <v>641735.94000000006</v>
      </c>
      <c r="O60" s="439">
        <v>20044.306214689266</v>
      </c>
      <c r="P60" s="439">
        <v>229491.64815017622</v>
      </c>
      <c r="Q60" s="439">
        <v>61456.406389937241</v>
      </c>
      <c r="R60" s="441">
        <v>952728.30075480277</v>
      </c>
    </row>
    <row r="61" spans="2:18" ht="14.25" hidden="1" x14ac:dyDescent="0.25">
      <c r="B61" t="s">
        <v>656</v>
      </c>
      <c r="C61" s="468" t="s">
        <v>61</v>
      </c>
      <c r="D61" s="435" t="s">
        <v>62</v>
      </c>
      <c r="E61" s="439">
        <v>94081.430000000008</v>
      </c>
      <c r="F61" s="439">
        <v>286301.28999999998</v>
      </c>
      <c r="G61" s="439">
        <v>291907.94</v>
      </c>
      <c r="H61" s="439">
        <v>437340.50999999995</v>
      </c>
      <c r="I61" s="439">
        <v>858416.35</v>
      </c>
      <c r="J61" s="439">
        <v>1564805.25</v>
      </c>
      <c r="K61" s="439">
        <v>524587.03999999992</v>
      </c>
      <c r="L61" s="439">
        <v>507972.23</v>
      </c>
      <c r="M61" s="439">
        <v>509503.27999999991</v>
      </c>
      <c r="N61" s="440">
        <v>5074915.32</v>
      </c>
      <c r="O61" s="439">
        <v>525390.04999999993</v>
      </c>
      <c r="P61" s="439">
        <v>1768067.7399999998</v>
      </c>
      <c r="Q61" s="439">
        <v>2422557.180000002</v>
      </c>
      <c r="R61" s="441">
        <v>9790930.290000001</v>
      </c>
    </row>
    <row r="62" spans="2:18" ht="14.25" hidden="1" x14ac:dyDescent="0.25">
      <c r="B62" t="s">
        <v>657</v>
      </c>
      <c r="C62" s="468" t="s">
        <v>94</v>
      </c>
      <c r="D62" s="435" t="s">
        <v>95</v>
      </c>
      <c r="E62" s="439">
        <v>78386.67</v>
      </c>
      <c r="F62" s="439">
        <v>259486.74999999997</v>
      </c>
      <c r="G62" s="439">
        <v>53012.740000000042</v>
      </c>
      <c r="H62" s="439">
        <v>341671.27999999997</v>
      </c>
      <c r="I62" s="439">
        <v>-14573.819999999949</v>
      </c>
      <c r="J62" s="439">
        <v>350977.83</v>
      </c>
      <c r="K62" s="439">
        <v>476505.7</v>
      </c>
      <c r="L62" s="439">
        <v>578932.30000000005</v>
      </c>
      <c r="M62" s="439">
        <v>592577.49</v>
      </c>
      <c r="N62" s="440">
        <v>2716976.9400000004</v>
      </c>
      <c r="O62" s="439">
        <v>292768.65000000002</v>
      </c>
      <c r="P62" s="439">
        <v>598273.74000000011</v>
      </c>
      <c r="Q62" s="439">
        <v>1371965.8600000006</v>
      </c>
      <c r="R62" s="441">
        <v>4979985.1900000013</v>
      </c>
    </row>
    <row r="63" spans="2:18" ht="14.25" hidden="1" x14ac:dyDescent="0.25">
      <c r="B63" t="s">
        <v>648</v>
      </c>
      <c r="C63" s="468" t="s">
        <v>291</v>
      </c>
      <c r="D63" t="s">
        <v>648</v>
      </c>
      <c r="E63" s="439">
        <v>2884.26</v>
      </c>
      <c r="F63" s="439">
        <v>2666.8</v>
      </c>
      <c r="G63" s="439">
        <v>2757.24</v>
      </c>
      <c r="H63" s="439">
        <v>2666.8</v>
      </c>
      <c r="I63" s="439">
        <v>-666.7</v>
      </c>
      <c r="J63" s="439">
        <v>0</v>
      </c>
      <c r="K63" s="439">
        <v>0</v>
      </c>
      <c r="L63" s="439">
        <v>0</v>
      </c>
      <c r="M63" s="439">
        <v>1512.95</v>
      </c>
      <c r="N63" s="440">
        <v>11821.349999999999</v>
      </c>
      <c r="O63" s="439">
        <v>3112.2</v>
      </c>
      <c r="P63" s="439">
        <v>1971.06</v>
      </c>
      <c r="Q63" s="439">
        <v>24573.729999999996</v>
      </c>
      <c r="R63" s="441">
        <v>41478.339999999997</v>
      </c>
    </row>
    <row r="64" spans="2:18" ht="14.25" hidden="1" x14ac:dyDescent="0.25">
      <c r="B64" t="s">
        <v>656</v>
      </c>
      <c r="C64" s="468" t="s">
        <v>53</v>
      </c>
      <c r="D64" s="435" t="s">
        <v>54</v>
      </c>
      <c r="E64" s="439">
        <v>1322926.3400000001</v>
      </c>
      <c r="F64" s="439">
        <v>1344834.0499999998</v>
      </c>
      <c r="G64" s="439">
        <v>1231905.77</v>
      </c>
      <c r="H64" s="439">
        <v>1525419.98</v>
      </c>
      <c r="I64" s="439">
        <v>1578366.27</v>
      </c>
      <c r="J64" s="439">
        <v>1322033.24</v>
      </c>
      <c r="K64" s="439">
        <v>684012.69000000006</v>
      </c>
      <c r="L64" s="439">
        <v>1203322.5199999998</v>
      </c>
      <c r="M64" s="439">
        <v>2506674.21</v>
      </c>
      <c r="N64" s="440">
        <v>12719495.07</v>
      </c>
      <c r="O64" s="439">
        <v>2713885.3763944609</v>
      </c>
      <c r="P64" s="439">
        <v>2672238.4854828189</v>
      </c>
      <c r="Q64" s="439">
        <v>1876642.0962948527</v>
      </c>
      <c r="R64" s="441">
        <v>19982261.028172135</v>
      </c>
    </row>
    <row r="65" spans="2:18" ht="14.25" hidden="1" x14ac:dyDescent="0.25">
      <c r="B65" t="s">
        <v>657</v>
      </c>
      <c r="C65" s="468" t="s">
        <v>90</v>
      </c>
      <c r="D65" s="435" t="s">
        <v>91</v>
      </c>
      <c r="E65" s="439">
        <v>119493.92</v>
      </c>
      <c r="F65" s="439">
        <v>240788.77</v>
      </c>
      <c r="G65" s="439">
        <v>167165.68000000002</v>
      </c>
      <c r="H65" s="439">
        <v>243334.61000000002</v>
      </c>
      <c r="I65" s="439">
        <v>355504.07</v>
      </c>
      <c r="J65" s="439">
        <v>262314.40000000002</v>
      </c>
      <c r="K65" s="439">
        <v>359011.81999999995</v>
      </c>
      <c r="L65" s="439">
        <v>242097.97</v>
      </c>
      <c r="M65" s="439">
        <v>198502.65</v>
      </c>
      <c r="N65" s="440">
        <v>2188213.89</v>
      </c>
      <c r="O65" s="439">
        <v>317689.25644239999</v>
      </c>
      <c r="P65" s="439">
        <v>321494.06756450003</v>
      </c>
      <c r="Q65" s="439">
        <v>398070.95136402594</v>
      </c>
      <c r="R65" s="441">
        <v>3225468.1653709263</v>
      </c>
    </row>
    <row r="66" spans="2:18" ht="14.25" hidden="1" x14ac:dyDescent="0.25">
      <c r="B66" t="s">
        <v>656</v>
      </c>
      <c r="C66" s="468" t="s">
        <v>67</v>
      </c>
      <c r="D66" s="435" t="s">
        <v>68</v>
      </c>
      <c r="E66" s="439">
        <v>10395.269999999997</v>
      </c>
      <c r="F66" s="439">
        <v>184302.65</v>
      </c>
      <c r="G66" s="439">
        <v>65451.83</v>
      </c>
      <c r="H66" s="439">
        <v>62050</v>
      </c>
      <c r="I66" s="439">
        <v>349980.04</v>
      </c>
      <c r="J66" s="439">
        <v>308147.74</v>
      </c>
      <c r="K66" s="439">
        <v>826225.4</v>
      </c>
      <c r="L66" s="439">
        <v>162984.17000000001</v>
      </c>
      <c r="M66" s="439">
        <v>425141.91</v>
      </c>
      <c r="N66" s="440">
        <v>2394679.0100000002</v>
      </c>
      <c r="O66" s="439">
        <v>79779.300323867079</v>
      </c>
      <c r="P66" s="439">
        <v>190663.48781756192</v>
      </c>
      <c r="Q66" s="439">
        <v>67621.089999999851</v>
      </c>
      <c r="R66" s="441">
        <v>2732742.8881414291</v>
      </c>
    </row>
    <row r="67" spans="2:18" ht="14.25" hidden="1" x14ac:dyDescent="0.25">
      <c r="B67" t="s">
        <v>657</v>
      </c>
      <c r="C67" s="468" t="s">
        <v>100</v>
      </c>
      <c r="D67" s="435" t="s">
        <v>101</v>
      </c>
      <c r="E67" s="439">
        <v>10969.74</v>
      </c>
      <c r="F67" s="439">
        <v>10999.36</v>
      </c>
      <c r="G67" s="439">
        <v>10945.5</v>
      </c>
      <c r="H67" s="439">
        <v>10950</v>
      </c>
      <c r="I67" s="439">
        <v>12522.61</v>
      </c>
      <c r="J67" s="439">
        <v>96359.16</v>
      </c>
      <c r="K67" s="439">
        <v>14808.22</v>
      </c>
      <c r="L67" s="439">
        <v>9174.09</v>
      </c>
      <c r="M67" s="439">
        <v>114630.43999999999</v>
      </c>
      <c r="N67" s="440">
        <v>291359.12</v>
      </c>
      <c r="O67" s="439">
        <v>39404.307058823528</v>
      </c>
      <c r="P67" s="439">
        <v>49058.054913468412</v>
      </c>
      <c r="Q67" s="439">
        <v>101564.96668571429</v>
      </c>
      <c r="R67" s="441">
        <v>481386.44865800627</v>
      </c>
    </row>
    <row r="68" spans="2:18" ht="14.25" hidden="1" x14ac:dyDescent="0.25">
      <c r="B68" t="s">
        <v>656</v>
      </c>
      <c r="C68" s="468" t="s">
        <v>72</v>
      </c>
      <c r="D68" s="435" t="s">
        <v>73</v>
      </c>
      <c r="E68" s="439">
        <v>19607.05</v>
      </c>
      <c r="F68" s="439">
        <v>28055.79</v>
      </c>
      <c r="G68" s="439">
        <v>91298.63</v>
      </c>
      <c r="H68" s="439">
        <v>38701.800000000003</v>
      </c>
      <c r="I68" s="439">
        <v>23990.34</v>
      </c>
      <c r="J68" s="439">
        <v>22553.15</v>
      </c>
      <c r="K68" s="439">
        <v>37401.839999999997</v>
      </c>
      <c r="L68" s="439">
        <v>39516.9</v>
      </c>
      <c r="M68" s="439">
        <v>29164.36</v>
      </c>
      <c r="N68" s="440">
        <v>330289.86</v>
      </c>
      <c r="O68" s="439">
        <v>49700</v>
      </c>
      <c r="P68" s="439">
        <v>65887</v>
      </c>
      <c r="Q68" s="439">
        <v>41889.640000000014</v>
      </c>
      <c r="R68" s="441">
        <v>487766.5</v>
      </c>
    </row>
    <row r="69" spans="2:18" ht="14.25" hidden="1" x14ac:dyDescent="0.25">
      <c r="B69" t="s">
        <v>657</v>
      </c>
      <c r="C69" s="468" t="s">
        <v>105</v>
      </c>
      <c r="D69" s="435" t="s">
        <v>106</v>
      </c>
      <c r="E69" s="439">
        <v>4196.6099999999997</v>
      </c>
      <c r="F69" s="439">
        <v>813.31</v>
      </c>
      <c r="G69" s="439">
        <v>1145.43</v>
      </c>
      <c r="H69" s="439">
        <v>4508.55</v>
      </c>
      <c r="I69" s="439">
        <v>464.18</v>
      </c>
      <c r="J69" s="439">
        <v>990.75</v>
      </c>
      <c r="K69" s="439">
        <v>5475.1900000000005</v>
      </c>
      <c r="L69" s="439">
        <v>998.31</v>
      </c>
      <c r="M69" s="439">
        <v>609.52</v>
      </c>
      <c r="N69" s="440">
        <v>19201.850000000006</v>
      </c>
      <c r="O69" s="439">
        <v>1764.1783333333333</v>
      </c>
      <c r="P69" s="439">
        <v>1864.1783333333333</v>
      </c>
      <c r="Q69" s="439">
        <v>2767.4800000000032</v>
      </c>
      <c r="R69" s="441">
        <v>25597.686666666676</v>
      </c>
    </row>
    <row r="70" spans="2:18" ht="14.25" hidden="1" x14ac:dyDescent="0.25">
      <c r="C70" s="468" t="s">
        <v>299</v>
      </c>
      <c r="D70" s="442"/>
      <c r="E70" s="439">
        <v>0</v>
      </c>
      <c r="F70" s="439">
        <v>0</v>
      </c>
      <c r="G70" s="439">
        <v>0</v>
      </c>
      <c r="H70" s="439">
        <v>0</v>
      </c>
      <c r="I70" s="439">
        <v>0</v>
      </c>
      <c r="J70" s="439">
        <v>0</v>
      </c>
      <c r="K70" s="439">
        <v>0</v>
      </c>
      <c r="L70" s="439">
        <v>0</v>
      </c>
      <c r="M70" s="439">
        <v>0</v>
      </c>
      <c r="N70" s="440">
        <v>0</v>
      </c>
      <c r="O70" s="439">
        <v>0</v>
      </c>
      <c r="P70" s="439">
        <v>0</v>
      </c>
      <c r="Q70" s="439">
        <v>0</v>
      </c>
      <c r="R70" s="441">
        <v>0</v>
      </c>
    </row>
    <row r="71" spans="2:18" ht="14.25" hidden="1" x14ac:dyDescent="0.25">
      <c r="C71" s="468" t="s">
        <v>301</v>
      </c>
      <c r="D71" s="442"/>
      <c r="E71" s="439">
        <v>0</v>
      </c>
      <c r="F71" s="439">
        <v>0</v>
      </c>
      <c r="G71" s="439">
        <v>0</v>
      </c>
      <c r="H71" s="439">
        <v>0</v>
      </c>
      <c r="I71" s="439">
        <v>0</v>
      </c>
      <c r="J71" s="439">
        <v>0</v>
      </c>
      <c r="K71" s="439">
        <v>0</v>
      </c>
      <c r="L71" s="439">
        <v>0</v>
      </c>
      <c r="M71" s="439">
        <v>0</v>
      </c>
      <c r="N71" s="440">
        <v>0</v>
      </c>
      <c r="O71" s="439">
        <v>0</v>
      </c>
      <c r="P71" s="439">
        <v>0</v>
      </c>
      <c r="Q71" s="439">
        <v>0</v>
      </c>
      <c r="R71" s="441">
        <v>0</v>
      </c>
    </row>
    <row r="72" spans="2:18" ht="14.25" hidden="1" x14ac:dyDescent="0.25">
      <c r="C72" s="468" t="s">
        <v>303</v>
      </c>
      <c r="D72" s="442"/>
      <c r="E72" s="439">
        <v>0</v>
      </c>
      <c r="F72" s="439">
        <v>0</v>
      </c>
      <c r="G72" s="439">
        <v>0</v>
      </c>
      <c r="H72" s="439">
        <v>0</v>
      </c>
      <c r="I72" s="439">
        <v>0</v>
      </c>
      <c r="J72" s="439">
        <v>0</v>
      </c>
      <c r="K72" s="439">
        <v>0</v>
      </c>
      <c r="L72" s="439">
        <v>0</v>
      </c>
      <c r="M72" s="439">
        <v>0</v>
      </c>
      <c r="N72" s="440">
        <v>0</v>
      </c>
      <c r="O72" s="439">
        <v>0</v>
      </c>
      <c r="P72" s="439">
        <v>0</v>
      </c>
      <c r="Q72" s="439">
        <v>0</v>
      </c>
      <c r="R72" s="441">
        <v>0</v>
      </c>
    </row>
    <row r="73" spans="2:18" ht="14.25" hidden="1" x14ac:dyDescent="0.25">
      <c r="C73" s="468" t="s">
        <v>305</v>
      </c>
      <c r="D73" s="442"/>
      <c r="E73" s="439">
        <v>0</v>
      </c>
      <c r="F73" s="439">
        <v>0</v>
      </c>
      <c r="G73" s="439">
        <v>0</v>
      </c>
      <c r="H73" s="439">
        <v>0</v>
      </c>
      <c r="I73" s="439">
        <v>0</v>
      </c>
      <c r="J73" s="439">
        <v>0</v>
      </c>
      <c r="K73" s="439">
        <v>0</v>
      </c>
      <c r="L73" s="439">
        <v>0</v>
      </c>
      <c r="M73" s="439">
        <v>0</v>
      </c>
      <c r="N73" s="440">
        <v>0</v>
      </c>
      <c r="O73" s="439">
        <v>0</v>
      </c>
      <c r="P73" s="439">
        <v>0</v>
      </c>
      <c r="Q73" s="439">
        <v>0</v>
      </c>
      <c r="R73" s="441">
        <v>0</v>
      </c>
    </row>
    <row r="74" spans="2:18" ht="14.25" hidden="1" x14ac:dyDescent="0.25">
      <c r="C74" s="475" t="s">
        <v>658</v>
      </c>
      <c r="E74" s="443">
        <v>2442445.9900000002</v>
      </c>
      <c r="F74" s="443">
        <v>3828151.24</v>
      </c>
      <c r="G74" s="443">
        <v>3606137.0300000003</v>
      </c>
      <c r="H74" s="443">
        <v>4198597.76</v>
      </c>
      <c r="I74" s="443">
        <v>5082388.9399999995</v>
      </c>
      <c r="J74" s="443">
        <v>6508365.0600000005</v>
      </c>
      <c r="K74" s="443">
        <v>5221476.9800000014</v>
      </c>
      <c r="L74" s="443">
        <v>5563632.9699999997</v>
      </c>
      <c r="M74" s="443">
        <v>7210084.9000000004</v>
      </c>
      <c r="N74" s="440">
        <v>43661280.870000005</v>
      </c>
      <c r="O74" s="443">
        <v>7113144.4555920707</v>
      </c>
      <c r="P74" s="443">
        <v>10312802.688513281</v>
      </c>
      <c r="Q74" s="443">
        <v>14112661.448991425</v>
      </c>
      <c r="R74" s="443">
        <v>75199889.463096783</v>
      </c>
    </row>
    <row r="75" spans="2:18" ht="14.25" hidden="1" x14ac:dyDescent="0.25">
      <c r="B75" t="s">
        <v>656</v>
      </c>
      <c r="C75" s="468" t="s">
        <v>69</v>
      </c>
      <c r="D75" s="435" t="s">
        <v>70</v>
      </c>
      <c r="E75" s="439">
        <v>-4149.8999999999942</v>
      </c>
      <c r="F75" s="439">
        <v>69043.95</v>
      </c>
      <c r="G75" s="439">
        <v>57913.32</v>
      </c>
      <c r="H75" s="439">
        <v>39230.590000000004</v>
      </c>
      <c r="I75" s="439">
        <v>61180.369999999995</v>
      </c>
      <c r="J75" s="439">
        <v>51747.31</v>
      </c>
      <c r="K75" s="439">
        <v>65403.259999999995</v>
      </c>
      <c r="L75" s="439">
        <v>38698.07</v>
      </c>
      <c r="M75" s="439">
        <v>41547.429999999993</v>
      </c>
      <c r="N75" s="440">
        <v>420614.40000000002</v>
      </c>
      <c r="O75" s="439">
        <v>87195</v>
      </c>
      <c r="P75" s="439">
        <v>46330</v>
      </c>
      <c r="Q75" s="439">
        <v>240964.89000000007</v>
      </c>
      <c r="R75" s="441">
        <v>795104.29</v>
      </c>
    </row>
    <row r="76" spans="2:18" ht="14.25" hidden="1" x14ac:dyDescent="0.25">
      <c r="B76" t="s">
        <v>657</v>
      </c>
      <c r="C76" s="468" t="s">
        <v>102</v>
      </c>
      <c r="D76" s="435" t="s">
        <v>103</v>
      </c>
      <c r="E76" s="439">
        <v>-2314.739999999998</v>
      </c>
      <c r="F76" s="439">
        <v>35401.61</v>
      </c>
      <c r="G76" s="439">
        <v>29667.79</v>
      </c>
      <c r="H76" s="439">
        <v>20042.02</v>
      </c>
      <c r="I76" s="439">
        <v>29184.01</v>
      </c>
      <c r="J76" s="439">
        <v>25211.15</v>
      </c>
      <c r="K76" s="439">
        <v>32724.090000000004</v>
      </c>
      <c r="L76" s="439">
        <v>19935.310000000001</v>
      </c>
      <c r="M76" s="439">
        <v>21403.160000000003</v>
      </c>
      <c r="N76" s="440">
        <v>211254.39999999999</v>
      </c>
      <c r="O76" s="439">
        <v>45417.5</v>
      </c>
      <c r="P76" s="439">
        <v>22605</v>
      </c>
      <c r="Q76" s="439">
        <v>119086.17999999996</v>
      </c>
      <c r="R76" s="441">
        <v>398363.07999999996</v>
      </c>
    </row>
    <row r="77" spans="2:18" ht="27" hidden="1" x14ac:dyDescent="0.25">
      <c r="B77" t="s">
        <v>654</v>
      </c>
      <c r="C77" s="468" t="s">
        <v>310</v>
      </c>
      <c r="D77" s="444" t="s">
        <v>445</v>
      </c>
      <c r="E77" s="439">
        <v>6421.7199999999993</v>
      </c>
      <c r="F77" s="439">
        <v>1127.5</v>
      </c>
      <c r="G77" s="439">
        <v>2585.75</v>
      </c>
      <c r="H77" s="439">
        <v>658.41</v>
      </c>
      <c r="I77" s="439">
        <v>1127.5</v>
      </c>
      <c r="J77" s="439">
        <v>1253.73</v>
      </c>
      <c r="K77" s="439">
        <v>16990.490000000002</v>
      </c>
      <c r="L77" s="439">
        <v>-7781.57</v>
      </c>
      <c r="M77" s="439">
        <v>1200.17</v>
      </c>
      <c r="N77" s="440">
        <v>23583.699999999997</v>
      </c>
      <c r="O77" s="439">
        <v>1269</v>
      </c>
      <c r="P77" s="439">
        <v>1269</v>
      </c>
      <c r="Q77" s="439">
        <v>19782.830000000002</v>
      </c>
      <c r="R77" s="441">
        <v>45904.53</v>
      </c>
    </row>
    <row r="78" spans="2:18" ht="27" hidden="1" x14ac:dyDescent="0.25">
      <c r="B78" t="s">
        <v>654</v>
      </c>
      <c r="C78" s="468" t="s">
        <v>312</v>
      </c>
      <c r="D78" s="444" t="s">
        <v>445</v>
      </c>
      <c r="E78" s="439">
        <v>-121900.63</v>
      </c>
      <c r="F78" s="439">
        <v>10147.5</v>
      </c>
      <c r="G78" s="439">
        <v>23271.79</v>
      </c>
      <c r="H78" s="439">
        <v>5925.6399999999994</v>
      </c>
      <c r="I78" s="439">
        <v>10147.5</v>
      </c>
      <c r="J78" s="439">
        <v>83721.03</v>
      </c>
      <c r="K78" s="439">
        <v>-9723.09</v>
      </c>
      <c r="L78" s="439">
        <v>20165.830000000002</v>
      </c>
      <c r="M78" s="439">
        <v>103662.23000000001</v>
      </c>
      <c r="N78" s="440">
        <v>125417.80000000002</v>
      </c>
      <c r="O78" s="439">
        <v>12210</v>
      </c>
      <c r="P78" s="439">
        <v>12210</v>
      </c>
      <c r="Q78" s="439">
        <v>207605.77000000002</v>
      </c>
      <c r="R78" s="441">
        <v>357443.57000000007</v>
      </c>
    </row>
    <row r="79" spans="2:18" ht="14.25" hidden="1" x14ac:dyDescent="0.25">
      <c r="C79" s="468" t="s">
        <v>314</v>
      </c>
      <c r="D79" s="442"/>
      <c r="E79" s="439"/>
      <c r="F79" s="439"/>
      <c r="G79" s="439"/>
      <c r="H79" s="439"/>
      <c r="I79" s="439"/>
      <c r="J79" s="439"/>
      <c r="K79" s="439"/>
      <c r="L79" s="439"/>
      <c r="M79" s="439"/>
      <c r="N79" s="440">
        <v>0</v>
      </c>
      <c r="O79" s="439"/>
      <c r="P79" s="439"/>
      <c r="Q79" s="439"/>
      <c r="R79" s="441"/>
    </row>
    <row r="80" spans="2:18" ht="14.25" hidden="1" x14ac:dyDescent="0.25">
      <c r="B80" t="s">
        <v>648</v>
      </c>
      <c r="C80" s="471" t="s">
        <v>316</v>
      </c>
      <c r="D80" t="s">
        <v>648</v>
      </c>
      <c r="E80" s="439">
        <v>-3761.5</v>
      </c>
      <c r="F80" s="439">
        <v>0</v>
      </c>
      <c r="G80" s="439">
        <v>0</v>
      </c>
      <c r="H80" s="439">
        <v>0</v>
      </c>
      <c r="I80" s="439">
        <v>0</v>
      </c>
      <c r="J80" s="439">
        <v>0</v>
      </c>
      <c r="K80" s="439">
        <v>0</v>
      </c>
      <c r="L80" s="439">
        <v>0</v>
      </c>
      <c r="M80" s="439">
        <v>0</v>
      </c>
      <c r="N80" s="440">
        <v>-3761.5</v>
      </c>
      <c r="O80" s="439">
        <v>0</v>
      </c>
      <c r="P80" s="439">
        <v>0</v>
      </c>
      <c r="Q80" s="439">
        <v>3761.5</v>
      </c>
      <c r="R80" s="439">
        <v>0</v>
      </c>
    </row>
    <row r="81" spans="2:18" ht="14.25" hidden="1" x14ac:dyDescent="0.25">
      <c r="C81" s="476"/>
      <c r="E81" s="443">
        <v>-125705.05</v>
      </c>
      <c r="F81" s="443">
        <v>115720.56</v>
      </c>
      <c r="G81" s="443">
        <v>113438.65</v>
      </c>
      <c r="H81" s="443">
        <v>65856.66</v>
      </c>
      <c r="I81" s="443">
        <v>101639.37999999999</v>
      </c>
      <c r="J81" s="443">
        <v>161933.21999999997</v>
      </c>
      <c r="K81" s="443">
        <v>105394.75000000001</v>
      </c>
      <c r="L81" s="443">
        <v>71017.640000000014</v>
      </c>
      <c r="M81" s="443">
        <v>167812.99</v>
      </c>
      <c r="N81" s="440">
        <v>777108.8</v>
      </c>
      <c r="O81" s="443">
        <v>146091.5</v>
      </c>
      <c r="P81" s="443">
        <v>82414</v>
      </c>
      <c r="Q81" s="443">
        <v>591201.17000000016</v>
      </c>
      <c r="R81" s="398">
        <v>1596815.4700000002</v>
      </c>
    </row>
    <row r="82" spans="2:18" ht="14.25" hidden="1" x14ac:dyDescent="0.25">
      <c r="C82" s="469"/>
      <c r="E82" s="445">
        <v>0</v>
      </c>
      <c r="F82" s="445">
        <v>0</v>
      </c>
      <c r="G82" s="445">
        <v>0</v>
      </c>
      <c r="H82" s="445">
        <v>0</v>
      </c>
      <c r="I82" s="445">
        <v>0</v>
      </c>
      <c r="J82" s="445">
        <v>0</v>
      </c>
      <c r="K82" s="445">
        <v>0</v>
      </c>
      <c r="L82" s="445">
        <v>0</v>
      </c>
      <c r="M82" s="445">
        <v>0</v>
      </c>
      <c r="N82" s="440">
        <v>0</v>
      </c>
      <c r="O82" s="445">
        <v>0</v>
      </c>
      <c r="P82" s="445">
        <v>0</v>
      </c>
      <c r="Q82" s="445">
        <v>0</v>
      </c>
      <c r="R82" s="445">
        <v>0</v>
      </c>
    </row>
    <row r="83" spans="2:18" ht="14.25" hidden="1" x14ac:dyDescent="0.25">
      <c r="B83" t="s">
        <v>648</v>
      </c>
      <c r="C83" s="470"/>
      <c r="D83" t="s">
        <v>648</v>
      </c>
      <c r="E83" s="446">
        <v>380996.58000000013</v>
      </c>
      <c r="F83" s="446">
        <v>392656.48999999993</v>
      </c>
      <c r="G83" s="446">
        <v>416189.85999999969</v>
      </c>
      <c r="H83" s="446">
        <v>420208.76000000007</v>
      </c>
      <c r="I83" s="446">
        <v>371735.87999999995</v>
      </c>
      <c r="J83" s="446">
        <v>370669.92000000004</v>
      </c>
      <c r="K83" s="446">
        <v>416137.3</v>
      </c>
      <c r="L83" s="446">
        <v>423450.79</v>
      </c>
      <c r="M83" s="446">
        <v>433523.74</v>
      </c>
      <c r="N83" s="440">
        <v>3625569.3199999994</v>
      </c>
      <c r="O83" s="446">
        <v>340320</v>
      </c>
      <c r="P83" s="446">
        <v>288569</v>
      </c>
      <c r="Q83" s="446">
        <v>271086</v>
      </c>
      <c r="R83" s="446">
        <v>4525544.3199999994</v>
      </c>
    </row>
    <row r="84" spans="2:18" ht="14.25" hidden="1" x14ac:dyDescent="0.25">
      <c r="C84" s="477"/>
      <c r="E84" s="450">
        <v>9323491.1600000001</v>
      </c>
      <c r="F84" s="450">
        <v>16034502.999999996</v>
      </c>
      <c r="G84" s="450">
        <v>13759932.690000001</v>
      </c>
      <c r="H84" s="450">
        <v>13456904.879999999</v>
      </c>
      <c r="I84" s="450">
        <v>13711803.489999998</v>
      </c>
      <c r="J84" s="450">
        <v>17749714.999999996</v>
      </c>
      <c r="K84" s="450">
        <v>15080531.670000002</v>
      </c>
      <c r="L84" s="450">
        <v>14564143</v>
      </c>
      <c r="M84" s="450">
        <v>17151043.68</v>
      </c>
      <c r="N84" s="440">
        <v>130832068.56999999</v>
      </c>
      <c r="O84" s="450">
        <v>22461657.415592071</v>
      </c>
      <c r="P84" s="450">
        <v>35861914.568513274</v>
      </c>
      <c r="Q84" s="450">
        <v>43261162.238991439</v>
      </c>
      <c r="R84" s="450">
        <v>232416802.79309678</v>
      </c>
    </row>
    <row r="85" spans="2:18" ht="14.25" hidden="1" x14ac:dyDescent="0.25">
      <c r="C85" s="478"/>
      <c r="E85" s="451">
        <v>18894624.68</v>
      </c>
      <c r="F85" s="451">
        <v>27544414.219999995</v>
      </c>
      <c r="G85" s="451">
        <v>26452275.25</v>
      </c>
      <c r="H85" s="451">
        <v>25258821.919999998</v>
      </c>
      <c r="I85" s="451">
        <v>25601981.392228998</v>
      </c>
      <c r="J85" s="451">
        <v>29775163.389999997</v>
      </c>
      <c r="K85" s="451">
        <v>28201526.730000004</v>
      </c>
      <c r="L85" s="451">
        <v>29337765.219999999</v>
      </c>
      <c r="M85" s="451">
        <v>31299347.189999998</v>
      </c>
      <c r="N85" s="440">
        <v>242365919.99222896</v>
      </c>
      <c r="O85" s="451">
        <v>37451443.625143826</v>
      </c>
      <c r="P85" s="451">
        <v>56786164.552942321</v>
      </c>
      <c r="Q85" s="451">
        <v>61031093.968869083</v>
      </c>
      <c r="R85" s="451">
        <v>397634622.13918418</v>
      </c>
    </row>
    <row r="86" spans="2:18" ht="14.25" hidden="1" x14ac:dyDescent="0.25">
      <c r="B86" s="452" t="s">
        <v>391</v>
      </c>
      <c r="C86" s="471" t="s">
        <v>322</v>
      </c>
      <c r="D86" s="452" t="s">
        <v>391</v>
      </c>
      <c r="E86" s="439">
        <v>407935.9</v>
      </c>
      <c r="F86" s="439">
        <v>572935.9</v>
      </c>
      <c r="G86" s="439">
        <v>572935.9</v>
      </c>
      <c r="H86" s="439">
        <v>572935.9</v>
      </c>
      <c r="I86" s="439">
        <v>572936</v>
      </c>
      <c r="J86" s="439">
        <v>54999.9</v>
      </c>
      <c r="K86" s="439">
        <v>55000</v>
      </c>
      <c r="L86" s="439">
        <v>55000</v>
      </c>
      <c r="M86" s="439">
        <v>55000</v>
      </c>
      <c r="N86" s="440">
        <v>2919679.5</v>
      </c>
      <c r="O86" s="439">
        <v>0</v>
      </c>
      <c r="P86" s="439">
        <v>0</v>
      </c>
      <c r="Q86" s="439">
        <v>0</v>
      </c>
      <c r="R86" s="439">
        <v>2919679.5</v>
      </c>
    </row>
    <row r="87" spans="2:18" ht="14.25" hidden="1" x14ac:dyDescent="0.25">
      <c r="B87" s="452" t="s">
        <v>391</v>
      </c>
      <c r="C87" s="471" t="s">
        <v>324</v>
      </c>
      <c r="D87" s="452" t="s">
        <v>391</v>
      </c>
      <c r="E87" s="439">
        <v>200000</v>
      </c>
      <c r="F87" s="439">
        <v>200000</v>
      </c>
      <c r="G87" s="439">
        <v>200000</v>
      </c>
      <c r="H87" s="439">
        <v>400000</v>
      </c>
      <c r="I87" s="439">
        <v>500000</v>
      </c>
      <c r="J87" s="439">
        <v>484935.9</v>
      </c>
      <c r="K87" s="439">
        <v>584935.9</v>
      </c>
      <c r="L87" s="439">
        <v>584935.9</v>
      </c>
      <c r="M87" s="439">
        <v>584935.9</v>
      </c>
      <c r="N87" s="440">
        <v>3739743.5999999996</v>
      </c>
      <c r="O87" s="439">
        <v>384935.89750000002</v>
      </c>
      <c r="P87" s="439">
        <v>384935.89750000002</v>
      </c>
      <c r="Q87" s="439">
        <v>284935.89750000002</v>
      </c>
      <c r="R87" s="439">
        <v>4794551.2924999995</v>
      </c>
    </row>
    <row r="88" spans="2:18" ht="14.25" hidden="1" x14ac:dyDescent="0.25">
      <c r="B88" s="452" t="s">
        <v>391</v>
      </c>
      <c r="C88" s="471" t="s">
        <v>326</v>
      </c>
      <c r="D88" s="452" t="s">
        <v>391</v>
      </c>
      <c r="E88" s="439">
        <v>0</v>
      </c>
      <c r="F88" s="439">
        <v>0</v>
      </c>
      <c r="G88" s="439">
        <v>0</v>
      </c>
      <c r="H88" s="439">
        <v>0</v>
      </c>
      <c r="I88" s="439">
        <v>0</v>
      </c>
      <c r="J88" s="439">
        <v>0</v>
      </c>
      <c r="K88" s="439">
        <v>0</v>
      </c>
      <c r="L88" s="439">
        <v>0</v>
      </c>
      <c r="M88" s="439">
        <v>0</v>
      </c>
      <c r="N88" s="440">
        <v>0</v>
      </c>
      <c r="O88" s="439">
        <v>175278</v>
      </c>
      <c r="P88" s="439">
        <v>175278</v>
      </c>
      <c r="Q88" s="439">
        <v>175278</v>
      </c>
      <c r="R88" s="439">
        <v>525834</v>
      </c>
    </row>
    <row r="89" spans="2:18" ht="14.25" hidden="1" x14ac:dyDescent="0.25">
      <c r="C89" s="472"/>
      <c r="E89" s="443">
        <v>607935.9</v>
      </c>
      <c r="F89" s="443">
        <v>772935.9</v>
      </c>
      <c r="G89" s="443">
        <v>772935.9</v>
      </c>
      <c r="H89" s="443">
        <v>972935.9</v>
      </c>
      <c r="I89" s="443">
        <v>1072936</v>
      </c>
      <c r="J89" s="443">
        <v>539935.80000000005</v>
      </c>
      <c r="K89" s="443">
        <v>639935.9</v>
      </c>
      <c r="L89" s="443">
        <v>639935.9</v>
      </c>
      <c r="M89" s="443">
        <v>639935.9</v>
      </c>
      <c r="N89" s="440">
        <v>6659423.1000000006</v>
      </c>
      <c r="O89" s="443">
        <v>560213.89749999996</v>
      </c>
      <c r="P89" s="443">
        <v>560213.89749999996</v>
      </c>
      <c r="Q89" s="443">
        <v>460213.89750000002</v>
      </c>
      <c r="R89" s="443">
        <v>8240064.7925000004</v>
      </c>
    </row>
    <row r="90" spans="2:18" ht="14.25" hidden="1" x14ac:dyDescent="0.25">
      <c r="B90" s="488" t="s">
        <v>648</v>
      </c>
      <c r="C90" s="472" t="s">
        <v>329</v>
      </c>
      <c r="D90" t="s">
        <v>648</v>
      </c>
      <c r="E90" s="443">
        <v>121467</v>
      </c>
      <c r="F90" s="443">
        <v>97415.359999999986</v>
      </c>
      <c r="G90" s="443">
        <v>179564.71</v>
      </c>
      <c r="H90" s="443">
        <v>373528.89999999997</v>
      </c>
      <c r="I90" s="443">
        <v>499798.17000000004</v>
      </c>
      <c r="J90" s="443">
        <v>409433.23</v>
      </c>
      <c r="K90" s="443">
        <v>241834.66999999998</v>
      </c>
      <c r="L90" s="443">
        <v>121292.51000000001</v>
      </c>
      <c r="M90" s="443">
        <v>99978.87</v>
      </c>
      <c r="N90" s="440">
        <v>2144313.42</v>
      </c>
      <c r="O90" s="443">
        <v>120500</v>
      </c>
      <c r="P90" s="443">
        <v>265000</v>
      </c>
      <c r="Q90" s="443">
        <v>-173732.87000000011</v>
      </c>
      <c r="R90" s="443">
        <v>2356080.5499999998</v>
      </c>
    </row>
    <row r="91" spans="2:18" ht="14.25" hidden="1" x14ac:dyDescent="0.25">
      <c r="B91" s="489" t="s">
        <v>648</v>
      </c>
      <c r="C91" s="472" t="s">
        <v>332</v>
      </c>
      <c r="D91" t="s">
        <v>648</v>
      </c>
      <c r="E91" s="443">
        <v>15725.99</v>
      </c>
      <c r="F91" s="443">
        <v>15909.1</v>
      </c>
      <c r="G91" s="443">
        <v>11528.7</v>
      </c>
      <c r="H91" s="443">
        <v>15504.87</v>
      </c>
      <c r="I91" s="443">
        <v>9933.9599999999991</v>
      </c>
      <c r="J91" s="443">
        <v>31074.829999999998</v>
      </c>
      <c r="K91" s="443">
        <v>65487.25</v>
      </c>
      <c r="L91" s="443">
        <v>25697.78</v>
      </c>
      <c r="M91" s="443">
        <v>12487.949999999999</v>
      </c>
      <c r="N91" s="440">
        <v>203350.43000000002</v>
      </c>
      <c r="O91" s="443">
        <v>25000</v>
      </c>
      <c r="P91" s="443">
        <v>22500</v>
      </c>
      <c r="Q91" s="443">
        <v>4388.3499999999985</v>
      </c>
      <c r="R91" s="443">
        <v>255238.78000000003</v>
      </c>
    </row>
    <row r="92" spans="2:18" ht="14.25" hidden="1" x14ac:dyDescent="0.25">
      <c r="B92" s="449" t="s">
        <v>184</v>
      </c>
      <c r="C92" s="471" t="s">
        <v>335</v>
      </c>
      <c r="D92" s="449" t="s">
        <v>184</v>
      </c>
      <c r="E92" s="439">
        <v>334532.77</v>
      </c>
      <c r="F92" s="439">
        <v>517569.41000000003</v>
      </c>
      <c r="G92" s="439">
        <v>403500.69</v>
      </c>
      <c r="H92" s="439">
        <v>354816.87</v>
      </c>
      <c r="I92" s="439">
        <v>461471.56</v>
      </c>
      <c r="J92" s="439">
        <v>681204.88000000012</v>
      </c>
      <c r="K92" s="439">
        <v>331349.29000000004</v>
      </c>
      <c r="L92" s="439">
        <v>485699.44999999995</v>
      </c>
      <c r="M92" s="439">
        <v>489508.84</v>
      </c>
      <c r="N92" s="440">
        <v>4059653.7600000007</v>
      </c>
      <c r="O92" s="439">
        <v>663352.71</v>
      </c>
      <c r="P92" s="439">
        <v>806978.21</v>
      </c>
      <c r="Q92" s="439">
        <v>1130590.42</v>
      </c>
      <c r="R92" s="439">
        <v>6660575.1000000006</v>
      </c>
    </row>
    <row r="93" spans="2:18" ht="14.25" hidden="1" x14ac:dyDescent="0.25">
      <c r="B93" s="449" t="s">
        <v>184</v>
      </c>
      <c r="C93" s="471" t="s">
        <v>338</v>
      </c>
      <c r="D93" s="449" t="s">
        <v>184</v>
      </c>
      <c r="E93" s="439">
        <v>25472</v>
      </c>
      <c r="F93" s="439">
        <v>16225.54</v>
      </c>
      <c r="G93" s="439">
        <v>29638.080000000002</v>
      </c>
      <c r="H93" s="439">
        <v>11409.79</v>
      </c>
      <c r="I93" s="439">
        <v>24558.9</v>
      </c>
      <c r="J93" s="439">
        <v>15822.03</v>
      </c>
      <c r="K93" s="439">
        <v>35296.270000000004</v>
      </c>
      <c r="L93" s="439">
        <v>45114.359999999993</v>
      </c>
      <c r="M93" s="439">
        <v>77162.929999999993</v>
      </c>
      <c r="N93" s="440">
        <v>280699.89999999997</v>
      </c>
      <c r="O93" s="439">
        <v>164247.03</v>
      </c>
      <c r="P93" s="439">
        <v>213555.51</v>
      </c>
      <c r="Q93" s="439">
        <v>333488.09000000008</v>
      </c>
      <c r="R93" s="439">
        <v>991990.53</v>
      </c>
    </row>
    <row r="94" spans="2:18" ht="14.25" hidden="1" x14ac:dyDescent="0.25">
      <c r="B94" s="449" t="s">
        <v>184</v>
      </c>
      <c r="C94" s="471" t="s">
        <v>338</v>
      </c>
      <c r="D94" s="449" t="s">
        <v>184</v>
      </c>
      <c r="E94" s="439">
        <v>0</v>
      </c>
      <c r="F94" s="439">
        <v>0</v>
      </c>
      <c r="G94" s="439">
        <v>0</v>
      </c>
      <c r="H94" s="439">
        <v>0</v>
      </c>
      <c r="I94" s="439">
        <v>0</v>
      </c>
      <c r="J94" s="439">
        <v>0</v>
      </c>
      <c r="K94" s="439">
        <v>0</v>
      </c>
      <c r="L94" s="439">
        <v>0</v>
      </c>
      <c r="M94" s="439">
        <v>0</v>
      </c>
      <c r="N94" s="440">
        <v>0</v>
      </c>
      <c r="O94" s="439">
        <v>0</v>
      </c>
      <c r="P94" s="439">
        <v>0</v>
      </c>
      <c r="Q94" s="439">
        <v>0</v>
      </c>
      <c r="R94" s="439">
        <v>0</v>
      </c>
    </row>
    <row r="95" spans="2:18" ht="14.25" hidden="1" x14ac:dyDescent="0.25">
      <c r="C95" s="472" t="s">
        <v>183</v>
      </c>
      <c r="E95" s="443">
        <v>360004.77</v>
      </c>
      <c r="F95" s="443">
        <v>533794.95000000007</v>
      </c>
      <c r="G95" s="443">
        <v>433138.77</v>
      </c>
      <c r="H95" s="443">
        <v>366226.66</v>
      </c>
      <c r="I95" s="443">
        <v>486030.46</v>
      </c>
      <c r="J95" s="443">
        <v>697026.91000000015</v>
      </c>
      <c r="K95" s="443">
        <v>366645.56000000006</v>
      </c>
      <c r="L95" s="443">
        <v>530813.80999999994</v>
      </c>
      <c r="M95" s="443">
        <v>566671.77</v>
      </c>
      <c r="N95" s="440">
        <v>4340353.66</v>
      </c>
      <c r="O95" s="443">
        <v>827599.74</v>
      </c>
      <c r="P95" s="443">
        <v>1020533.72</v>
      </c>
      <c r="Q95" s="443">
        <v>1464078.51</v>
      </c>
      <c r="R95" s="443">
        <v>7652565.6299999999</v>
      </c>
    </row>
    <row r="96" spans="2:18" ht="14.25" hidden="1" x14ac:dyDescent="0.25">
      <c r="B96" t="s">
        <v>648</v>
      </c>
      <c r="C96" s="471" t="s">
        <v>342</v>
      </c>
      <c r="D96" t="s">
        <v>648</v>
      </c>
      <c r="E96" s="439">
        <v>578.17999999999995</v>
      </c>
      <c r="F96" s="439">
        <v>63.819999999999993</v>
      </c>
      <c r="G96" s="439">
        <v>1225.3999999999999</v>
      </c>
      <c r="H96" s="439">
        <v>-862.42999999999984</v>
      </c>
      <c r="I96" s="439">
        <v>4170.72</v>
      </c>
      <c r="J96" s="439">
        <v>30.25</v>
      </c>
      <c r="K96" s="439">
        <v>2485.63</v>
      </c>
      <c r="L96" s="439">
        <v>-679.07999999999947</v>
      </c>
      <c r="M96" s="439">
        <v>446.6699999999999</v>
      </c>
      <c r="N96" s="440">
        <v>7459.1600000000017</v>
      </c>
      <c r="O96" s="439">
        <v>5000</v>
      </c>
      <c r="P96" s="439">
        <v>5000</v>
      </c>
      <c r="Q96" s="439">
        <v>5000</v>
      </c>
      <c r="R96" s="439">
        <v>22459.160000000003</v>
      </c>
    </row>
    <row r="97" spans="2:18" ht="14.25" hidden="1" x14ac:dyDescent="0.25">
      <c r="B97" t="s">
        <v>648</v>
      </c>
      <c r="C97" s="479" t="s">
        <v>344</v>
      </c>
      <c r="D97" t="s">
        <v>648</v>
      </c>
      <c r="E97" s="405">
        <v>0</v>
      </c>
      <c r="F97" s="405">
        <v>837.4200000000003</v>
      </c>
      <c r="G97" s="405">
        <v>2421.4800000000009</v>
      </c>
      <c r="H97" s="405">
        <v>5774.2300000000005</v>
      </c>
      <c r="I97" s="405">
        <v>9692.81</v>
      </c>
      <c r="J97" s="405">
        <v>3728.49</v>
      </c>
      <c r="K97" s="405">
        <v>1965.56</v>
      </c>
      <c r="L97" s="405">
        <v>2269.7600000000007</v>
      </c>
      <c r="M97" s="405">
        <v>159.02000000000007</v>
      </c>
      <c r="N97" s="440">
        <v>26848.770000000004</v>
      </c>
      <c r="O97" s="405">
        <v>5000</v>
      </c>
      <c r="P97" s="405">
        <v>5000</v>
      </c>
      <c r="Q97" s="405">
        <v>5000</v>
      </c>
      <c r="R97" s="405">
        <v>41848.770000000004</v>
      </c>
    </row>
    <row r="98" spans="2:18" ht="14.25" hidden="1" x14ac:dyDescent="0.25">
      <c r="B98" t="s">
        <v>648</v>
      </c>
      <c r="C98" s="471" t="s">
        <v>347</v>
      </c>
      <c r="D98" t="s">
        <v>648</v>
      </c>
      <c r="E98" s="439">
        <v>55976</v>
      </c>
      <c r="F98" s="439">
        <v>-10919</v>
      </c>
      <c r="G98" s="439">
        <v>25928</v>
      </c>
      <c r="H98" s="439">
        <v>22609</v>
      </c>
      <c r="I98" s="439">
        <v>19714</v>
      </c>
      <c r="J98" s="439">
        <v>15213</v>
      </c>
      <c r="K98" s="439">
        <v>15951.5</v>
      </c>
      <c r="L98" s="439">
        <v>17944.5</v>
      </c>
      <c r="M98" s="439">
        <v>19944.5</v>
      </c>
      <c r="N98" s="440">
        <v>182361.5</v>
      </c>
      <c r="O98" s="439">
        <v>20000</v>
      </c>
      <c r="P98" s="439">
        <v>20000</v>
      </c>
      <c r="Q98" s="439">
        <v>26940.807500001043</v>
      </c>
      <c r="R98" s="439">
        <v>249302.30750000104</v>
      </c>
    </row>
    <row r="99" spans="2:18" ht="14.25" hidden="1" x14ac:dyDescent="0.25">
      <c r="C99" s="471" t="s">
        <v>348</v>
      </c>
      <c r="E99" s="439">
        <v>0</v>
      </c>
      <c r="F99" s="439">
        <v>0</v>
      </c>
      <c r="G99" s="439">
        <v>0</v>
      </c>
      <c r="H99" s="439">
        <v>0</v>
      </c>
      <c r="I99" s="439">
        <v>0</v>
      </c>
      <c r="J99" s="439">
        <v>0</v>
      </c>
      <c r="K99" s="439">
        <v>0</v>
      </c>
      <c r="L99" s="439">
        <v>0</v>
      </c>
      <c r="M99" s="439">
        <v>0</v>
      </c>
      <c r="N99" s="440">
        <v>0</v>
      </c>
      <c r="O99" s="439">
        <v>0</v>
      </c>
      <c r="P99" s="439">
        <v>0</v>
      </c>
      <c r="Q99" s="439">
        <v>0</v>
      </c>
      <c r="R99" s="439">
        <v>0</v>
      </c>
    </row>
    <row r="100" spans="2:18" ht="14.25" hidden="1" x14ac:dyDescent="0.25">
      <c r="C100" s="472" t="s">
        <v>351</v>
      </c>
      <c r="E100" s="443">
        <v>56554.18</v>
      </c>
      <c r="F100" s="443">
        <v>-10017.76</v>
      </c>
      <c r="G100" s="443">
        <v>29574.880000000001</v>
      </c>
      <c r="H100" s="443">
        <v>27520.800000000003</v>
      </c>
      <c r="I100" s="443">
        <v>33577.53</v>
      </c>
      <c r="J100" s="443">
        <v>18971.739999999998</v>
      </c>
      <c r="K100" s="443">
        <v>20402.690000000002</v>
      </c>
      <c r="L100" s="443">
        <v>19535.18</v>
      </c>
      <c r="M100" s="443">
        <v>20550.189999999999</v>
      </c>
      <c r="N100" s="440">
        <v>216669.43</v>
      </c>
      <c r="O100" s="443">
        <v>30000</v>
      </c>
      <c r="P100" s="443">
        <v>30000</v>
      </c>
      <c r="Q100" s="443">
        <v>36940.807500001043</v>
      </c>
      <c r="R100" s="443">
        <v>313610.23750000104</v>
      </c>
    </row>
    <row r="101" spans="2:18" ht="14.25" hidden="1" x14ac:dyDescent="0.25">
      <c r="C101" s="469"/>
      <c r="E101" s="445">
        <v>0</v>
      </c>
      <c r="F101" s="445">
        <v>0</v>
      </c>
      <c r="G101" s="445">
        <v>0</v>
      </c>
      <c r="H101" s="445">
        <v>0</v>
      </c>
      <c r="I101" s="445">
        <v>0</v>
      </c>
      <c r="J101" s="445">
        <v>0</v>
      </c>
      <c r="K101" s="445">
        <v>0</v>
      </c>
      <c r="L101" s="445">
        <v>0</v>
      </c>
      <c r="M101" s="445">
        <v>0</v>
      </c>
      <c r="N101" s="440">
        <v>0</v>
      </c>
      <c r="O101" s="445">
        <v>0</v>
      </c>
      <c r="P101" s="445">
        <v>0</v>
      </c>
      <c r="Q101" s="445">
        <v>0</v>
      </c>
      <c r="R101" s="445">
        <v>0</v>
      </c>
    </row>
    <row r="102" spans="2:18" ht="14.25" hidden="1" x14ac:dyDescent="0.25">
      <c r="B102" t="s">
        <v>648</v>
      </c>
      <c r="C102" s="470"/>
      <c r="D102" t="s">
        <v>648</v>
      </c>
      <c r="E102" s="446">
        <v>148310.19</v>
      </c>
      <c r="F102" s="446">
        <v>158715.33000000002</v>
      </c>
      <c r="G102" s="446">
        <v>184663.38</v>
      </c>
      <c r="H102" s="446">
        <v>157183.43999999994</v>
      </c>
      <c r="I102" s="446">
        <v>132135.51000000004</v>
      </c>
      <c r="J102" s="446">
        <v>118832.38999999998</v>
      </c>
      <c r="K102" s="446">
        <v>105656.32000000001</v>
      </c>
      <c r="L102" s="446">
        <v>137212.98000000001</v>
      </c>
      <c r="M102" s="446">
        <v>143404.27000000002</v>
      </c>
      <c r="N102" s="440">
        <v>1286113.81</v>
      </c>
      <c r="O102" s="446">
        <v>162070.9217440449</v>
      </c>
      <c r="P102" s="446">
        <v>143699.83720431</v>
      </c>
      <c r="Q102" s="446">
        <v>135146.49253388715</v>
      </c>
      <c r="R102" s="446">
        <v>1727031.0614822423</v>
      </c>
    </row>
    <row r="103" spans="2:18" ht="14.25" hidden="1" x14ac:dyDescent="0.25">
      <c r="C103" s="477"/>
      <c r="E103" s="450">
        <v>1309998.03</v>
      </c>
      <c r="F103" s="450">
        <v>1568752.88</v>
      </c>
      <c r="G103" s="450">
        <v>1611406.3399999999</v>
      </c>
      <c r="H103" s="450">
        <v>1912900.5699999998</v>
      </c>
      <c r="I103" s="450">
        <v>2234411.63</v>
      </c>
      <c r="J103" s="450">
        <v>1815274.9000000001</v>
      </c>
      <c r="K103" s="450">
        <v>1439962.3900000001</v>
      </c>
      <c r="L103" s="450">
        <v>1474488.1600000001</v>
      </c>
      <c r="M103" s="450">
        <v>1483028.95</v>
      </c>
      <c r="N103" s="440">
        <v>14850223.85</v>
      </c>
      <c r="O103" s="450">
        <v>1725384.5592440448</v>
      </c>
      <c r="P103" s="450">
        <v>2041947.4547043098</v>
      </c>
      <c r="Q103" s="450">
        <v>1927035.187533888</v>
      </c>
      <c r="R103" s="450">
        <v>20544591.051482242</v>
      </c>
    </row>
    <row r="104" spans="2:18" ht="14.25" hidden="1" x14ac:dyDescent="0.25">
      <c r="B104" t="s">
        <v>648</v>
      </c>
      <c r="C104" s="471" t="s">
        <v>356</v>
      </c>
      <c r="D104" t="s">
        <v>648</v>
      </c>
      <c r="E104" s="439">
        <v>59182</v>
      </c>
      <c r="F104" s="439">
        <v>59182</v>
      </c>
      <c r="G104" s="439">
        <v>59182</v>
      </c>
      <c r="H104" s="439">
        <v>59182</v>
      </c>
      <c r="I104" s="439">
        <v>59182</v>
      </c>
      <c r="J104" s="439">
        <v>78307</v>
      </c>
      <c r="K104" s="439">
        <v>59182</v>
      </c>
      <c r="L104" s="439">
        <v>74822</v>
      </c>
      <c r="M104" s="439">
        <v>13600</v>
      </c>
      <c r="N104" s="440">
        <v>521821</v>
      </c>
      <c r="O104" s="439">
        <v>177480.66666666666</v>
      </c>
      <c r="P104" s="439">
        <v>186496.69666666666</v>
      </c>
      <c r="Q104" s="439">
        <v>226111.69166666677</v>
      </c>
      <c r="R104" s="439">
        <v>1111910.0550000002</v>
      </c>
    </row>
    <row r="105" spans="2:18" ht="14.25" hidden="1" x14ac:dyDescent="0.25">
      <c r="B105" t="s">
        <v>648</v>
      </c>
      <c r="C105" s="471" t="s">
        <v>358</v>
      </c>
      <c r="D105" t="s">
        <v>648</v>
      </c>
      <c r="E105" s="439">
        <v>112389.38</v>
      </c>
      <c r="F105" s="439">
        <v>95268.919999999969</v>
      </c>
      <c r="G105" s="439">
        <v>105138.58999999998</v>
      </c>
      <c r="H105" s="439">
        <v>110284.20999999999</v>
      </c>
      <c r="I105" s="439">
        <v>211694.11000000002</v>
      </c>
      <c r="J105" s="439">
        <v>109024.81</v>
      </c>
      <c r="K105" s="439">
        <v>122617.77</v>
      </c>
      <c r="L105" s="439">
        <v>107760.17</v>
      </c>
      <c r="M105" s="439">
        <v>124872.67</v>
      </c>
      <c r="N105" s="440">
        <v>1099050.6300000001</v>
      </c>
      <c r="O105" s="439">
        <v>113316.84</v>
      </c>
      <c r="P105" s="439">
        <v>113316.84</v>
      </c>
      <c r="Q105" s="439">
        <v>101761.00999999992</v>
      </c>
      <c r="R105" s="439">
        <v>1427445.3200000003</v>
      </c>
    </row>
    <row r="106" spans="2:18" ht="14.25" hidden="1" x14ac:dyDescent="0.25">
      <c r="B106" t="s">
        <v>648</v>
      </c>
      <c r="C106" s="471" t="s">
        <v>360</v>
      </c>
      <c r="D106" t="s">
        <v>648</v>
      </c>
      <c r="E106" s="439">
        <v>36529.22</v>
      </c>
      <c r="F106" s="439">
        <v>17903.5</v>
      </c>
      <c r="G106" s="439">
        <v>14906.75</v>
      </c>
      <c r="H106" s="439">
        <v>9502.74</v>
      </c>
      <c r="I106" s="439">
        <v>-363.41000000000008</v>
      </c>
      <c r="J106" s="439">
        <v>-3.5599999999999454</v>
      </c>
      <c r="K106" s="439">
        <v>-4.5599999999999454</v>
      </c>
      <c r="L106" s="439">
        <v>0</v>
      </c>
      <c r="M106" s="439">
        <v>0</v>
      </c>
      <c r="N106" s="440">
        <v>78470.680000000008</v>
      </c>
      <c r="O106" s="439">
        <v>33333.333333333336</v>
      </c>
      <c r="P106" s="439">
        <v>84309.098333333328</v>
      </c>
      <c r="Q106" s="439">
        <v>106623.765</v>
      </c>
      <c r="R106" s="439">
        <v>302736.87666666665</v>
      </c>
    </row>
    <row r="107" spans="2:18" ht="14.25" hidden="1" x14ac:dyDescent="0.25">
      <c r="C107" s="472"/>
      <c r="E107" s="443">
        <v>208100.6</v>
      </c>
      <c r="F107" s="443">
        <v>172354.41999999998</v>
      </c>
      <c r="G107" s="443">
        <v>179227.33999999997</v>
      </c>
      <c r="H107" s="443">
        <v>178968.94999999998</v>
      </c>
      <c r="I107" s="443">
        <v>270512.7</v>
      </c>
      <c r="J107" s="443">
        <v>187328.25</v>
      </c>
      <c r="K107" s="443">
        <v>181795.21000000002</v>
      </c>
      <c r="L107" s="443">
        <v>182582.16999999998</v>
      </c>
      <c r="M107" s="443">
        <v>138472.66999999998</v>
      </c>
      <c r="N107" s="440">
        <v>1699342.3099999998</v>
      </c>
      <c r="O107" s="443">
        <v>324130.83999999997</v>
      </c>
      <c r="P107" s="443">
        <v>384122.63499999995</v>
      </c>
      <c r="Q107" s="443">
        <v>434496.46666666667</v>
      </c>
      <c r="R107" s="443">
        <v>2842092.2516666665</v>
      </c>
    </row>
    <row r="108" spans="2:18" ht="14.25" hidden="1" x14ac:dyDescent="0.25">
      <c r="B108" t="s">
        <v>648</v>
      </c>
      <c r="C108" s="471" t="s">
        <v>363</v>
      </c>
      <c r="D108" t="s">
        <v>648</v>
      </c>
      <c r="E108" s="439">
        <v>140848.87</v>
      </c>
      <c r="F108" s="439">
        <v>141866.40000000002</v>
      </c>
      <c r="G108" s="439">
        <v>170664.62</v>
      </c>
      <c r="H108" s="439">
        <v>147325.63</v>
      </c>
      <c r="I108" s="439">
        <v>161144.91999999998</v>
      </c>
      <c r="J108" s="439">
        <v>175128.89</v>
      </c>
      <c r="K108" s="439">
        <v>121654.48</v>
      </c>
      <c r="L108" s="439">
        <v>145257.69</v>
      </c>
      <c r="M108" s="439">
        <v>153322.77000000002</v>
      </c>
      <c r="N108" s="440">
        <v>1357214.27</v>
      </c>
      <c r="O108" s="439">
        <v>305894.09000000003</v>
      </c>
      <c r="P108" s="439">
        <v>275633.90000000002</v>
      </c>
      <c r="Q108" s="439">
        <v>317915.36538461549</v>
      </c>
      <c r="R108" s="439">
        <v>2256657.6253846157</v>
      </c>
    </row>
    <row r="109" spans="2:18" ht="14.25" hidden="1" x14ac:dyDescent="0.25">
      <c r="B109" t="s">
        <v>648</v>
      </c>
      <c r="C109" s="471" t="s">
        <v>365</v>
      </c>
      <c r="D109" t="s">
        <v>648</v>
      </c>
      <c r="E109" s="439">
        <v>229523.61</v>
      </c>
      <c r="F109" s="439">
        <v>192533.5</v>
      </c>
      <c r="G109" s="439">
        <v>266945.09999999998</v>
      </c>
      <c r="H109" s="439">
        <v>468894.87</v>
      </c>
      <c r="I109" s="439">
        <v>361011.62</v>
      </c>
      <c r="J109" s="439">
        <v>482178.91999999993</v>
      </c>
      <c r="K109" s="439">
        <v>300444.24000000005</v>
      </c>
      <c r="L109" s="439">
        <v>327240.88000000006</v>
      </c>
      <c r="M109" s="439">
        <v>819945.18</v>
      </c>
      <c r="N109" s="440">
        <v>3448717.9200000004</v>
      </c>
      <c r="O109" s="439">
        <v>650029.6</v>
      </c>
      <c r="P109" s="439">
        <v>609382.6</v>
      </c>
      <c r="Q109" s="439">
        <v>539824.0199999999</v>
      </c>
      <c r="R109" s="439">
        <v>5247954.1399999997</v>
      </c>
    </row>
    <row r="110" spans="2:18" ht="14.25" hidden="1" x14ac:dyDescent="0.25">
      <c r="B110" t="s">
        <v>648</v>
      </c>
      <c r="C110" s="471" t="s">
        <v>367</v>
      </c>
      <c r="D110" t="s">
        <v>648</v>
      </c>
      <c r="E110" s="439">
        <v>9872.41</v>
      </c>
      <c r="F110" s="439">
        <v>9710.0600000000013</v>
      </c>
      <c r="G110" s="439">
        <v>8723.81</v>
      </c>
      <c r="H110" s="439">
        <v>8737.4</v>
      </c>
      <c r="I110" s="439">
        <v>9483.75</v>
      </c>
      <c r="J110" s="439">
        <v>10135.450000000001</v>
      </c>
      <c r="K110" s="439">
        <v>8652.61</v>
      </c>
      <c r="L110" s="439">
        <v>11398.619999999999</v>
      </c>
      <c r="M110" s="439">
        <v>7029.05</v>
      </c>
      <c r="N110" s="440">
        <v>83743.16</v>
      </c>
      <c r="O110" s="439">
        <v>11130</v>
      </c>
      <c r="P110" s="439">
        <v>11130</v>
      </c>
      <c r="Q110" s="439">
        <v>23192.949999999997</v>
      </c>
      <c r="R110" s="439">
        <v>129196.11</v>
      </c>
    </row>
    <row r="111" spans="2:18" ht="14.25" hidden="1" x14ac:dyDescent="0.25">
      <c r="C111" s="472"/>
      <c r="E111" s="443">
        <v>380244.88999999996</v>
      </c>
      <c r="F111" s="443">
        <v>344109.96</v>
      </c>
      <c r="G111" s="443">
        <v>446333.52999999997</v>
      </c>
      <c r="H111" s="443">
        <v>624957.9</v>
      </c>
      <c r="I111" s="443">
        <v>531640.29</v>
      </c>
      <c r="J111" s="443">
        <v>667443.25999999989</v>
      </c>
      <c r="K111" s="443">
        <v>430751.33</v>
      </c>
      <c r="L111" s="443">
        <v>483897.19000000006</v>
      </c>
      <c r="M111" s="443">
        <v>980297.00000000012</v>
      </c>
      <c r="N111" s="440">
        <v>4889675.3499999996</v>
      </c>
      <c r="O111" s="443">
        <v>967053.69</v>
      </c>
      <c r="P111" s="443">
        <v>896146.5</v>
      </c>
      <c r="Q111" s="443">
        <v>880932.33538461535</v>
      </c>
      <c r="R111" s="443">
        <v>7633807.8753846148</v>
      </c>
    </row>
    <row r="112" spans="2:18" ht="14.25" hidden="1" x14ac:dyDescent="0.25">
      <c r="C112" s="471" t="s">
        <v>369</v>
      </c>
      <c r="E112" s="439">
        <v>0</v>
      </c>
      <c r="F112" s="439">
        <v>0</v>
      </c>
      <c r="G112" s="439">
        <v>0</v>
      </c>
      <c r="H112" s="439">
        <v>0</v>
      </c>
      <c r="I112" s="439">
        <v>0</v>
      </c>
      <c r="J112" s="439">
        <v>0</v>
      </c>
      <c r="K112" s="439">
        <v>0</v>
      </c>
      <c r="L112" s="439">
        <v>0</v>
      </c>
      <c r="M112" s="439">
        <v>0</v>
      </c>
      <c r="N112" s="440">
        <v>0</v>
      </c>
      <c r="O112" s="439">
        <v>0</v>
      </c>
      <c r="P112" s="439">
        <v>0</v>
      </c>
      <c r="Q112" s="439">
        <v>0</v>
      </c>
      <c r="R112" s="439">
        <v>0</v>
      </c>
    </row>
    <row r="113" spans="2:18" ht="14.25" hidden="1" x14ac:dyDescent="0.25">
      <c r="C113" s="471"/>
      <c r="E113" s="439">
        <v>0</v>
      </c>
      <c r="F113" s="439">
        <v>0</v>
      </c>
      <c r="G113" s="439">
        <v>0</v>
      </c>
      <c r="H113" s="439">
        <v>0</v>
      </c>
      <c r="I113" s="439">
        <v>0</v>
      </c>
      <c r="J113" s="439">
        <v>0</v>
      </c>
      <c r="K113" s="439">
        <v>0</v>
      </c>
      <c r="L113" s="439">
        <v>0</v>
      </c>
      <c r="M113" s="439">
        <v>0</v>
      </c>
      <c r="N113" s="440">
        <v>0</v>
      </c>
      <c r="O113" s="439">
        <v>0</v>
      </c>
      <c r="P113" s="439">
        <v>0</v>
      </c>
      <c r="Q113" s="439">
        <v>0</v>
      </c>
      <c r="R113" s="439">
        <v>0</v>
      </c>
    </row>
    <row r="114" spans="2:18" ht="14.25" hidden="1" x14ac:dyDescent="0.25">
      <c r="C114" s="472"/>
      <c r="E114" s="443">
        <v>0</v>
      </c>
      <c r="F114" s="443">
        <v>0</v>
      </c>
      <c r="G114" s="443">
        <v>0</v>
      </c>
      <c r="H114" s="443">
        <v>0</v>
      </c>
      <c r="I114" s="443">
        <v>0</v>
      </c>
      <c r="J114" s="443">
        <v>0</v>
      </c>
      <c r="K114" s="443">
        <v>0</v>
      </c>
      <c r="L114" s="443">
        <v>0</v>
      </c>
      <c r="M114" s="443">
        <v>0</v>
      </c>
      <c r="N114" s="440">
        <v>0</v>
      </c>
      <c r="O114" s="443">
        <v>0</v>
      </c>
      <c r="P114" s="443">
        <v>0</v>
      </c>
      <c r="Q114" s="443">
        <v>0</v>
      </c>
      <c r="R114" s="443">
        <v>0</v>
      </c>
    </row>
    <row r="115" spans="2:18" ht="14.25" hidden="1" x14ac:dyDescent="0.25">
      <c r="B115" t="s">
        <v>648</v>
      </c>
      <c r="C115" s="471" t="s">
        <v>373</v>
      </c>
      <c r="D115" t="s">
        <v>648</v>
      </c>
      <c r="E115" s="439">
        <v>50129.06</v>
      </c>
      <c r="F115" s="439">
        <v>1093.7099999999998</v>
      </c>
      <c r="G115" s="439">
        <v>814</v>
      </c>
      <c r="H115" s="439">
        <v>0</v>
      </c>
      <c r="I115" s="439">
        <v>0</v>
      </c>
      <c r="J115" s="439">
        <v>0</v>
      </c>
      <c r="K115" s="439">
        <v>0</v>
      </c>
      <c r="L115" s="439">
        <v>0</v>
      </c>
      <c r="M115" s="439">
        <v>0</v>
      </c>
      <c r="N115" s="440">
        <v>52036.77</v>
      </c>
      <c r="O115" s="439">
        <v>0</v>
      </c>
      <c r="P115" s="439">
        <v>1462598.8247648198</v>
      </c>
      <c r="Q115" s="439">
        <v>1453829.7472648621</v>
      </c>
      <c r="R115" s="439">
        <v>2968465.3420296819</v>
      </c>
    </row>
    <row r="116" spans="2:18" ht="14.25" hidden="1" x14ac:dyDescent="0.25">
      <c r="B116" t="s">
        <v>648</v>
      </c>
      <c r="C116" s="471" t="s">
        <v>375</v>
      </c>
      <c r="D116" t="s">
        <v>648</v>
      </c>
      <c r="E116" s="439">
        <v>2064.94</v>
      </c>
      <c r="F116" s="439">
        <v>759.29999999999859</v>
      </c>
      <c r="G116" s="439">
        <v>2324.8200000000002</v>
      </c>
      <c r="H116" s="439">
        <v>4082.9</v>
      </c>
      <c r="I116" s="439">
        <v>567.66</v>
      </c>
      <c r="J116" s="439">
        <v>4159.3</v>
      </c>
      <c r="K116" s="439">
        <v>4937.4799999999996</v>
      </c>
      <c r="L116" s="439">
        <v>795.91</v>
      </c>
      <c r="M116" s="439">
        <v>2328.27</v>
      </c>
      <c r="N116" s="440">
        <v>22020.579999999998</v>
      </c>
      <c r="O116" s="439">
        <v>500</v>
      </c>
      <c r="P116" s="439">
        <v>500</v>
      </c>
      <c r="Q116" s="439">
        <v>500</v>
      </c>
      <c r="R116" s="439">
        <v>23520.579999999998</v>
      </c>
    </row>
    <row r="117" spans="2:18" ht="14.25" hidden="1" x14ac:dyDescent="0.25">
      <c r="C117" s="471" t="s">
        <v>637</v>
      </c>
      <c r="E117" s="439">
        <v>0</v>
      </c>
      <c r="F117" s="439">
        <v>0</v>
      </c>
      <c r="G117" s="439">
        <v>0</v>
      </c>
      <c r="H117" s="439">
        <v>0</v>
      </c>
      <c r="I117" s="439">
        <v>0</v>
      </c>
      <c r="J117" s="439">
        <v>0</v>
      </c>
      <c r="K117" s="439">
        <v>0</v>
      </c>
      <c r="L117" s="439">
        <v>0</v>
      </c>
      <c r="M117" s="439">
        <v>0</v>
      </c>
      <c r="N117" s="440">
        <v>0</v>
      </c>
      <c r="O117" s="439">
        <v>0</v>
      </c>
      <c r="P117" s="439">
        <v>0</v>
      </c>
      <c r="Q117" s="439">
        <v>0</v>
      </c>
      <c r="R117" s="439">
        <v>0</v>
      </c>
    </row>
    <row r="118" spans="2:18" ht="14.25" hidden="1" x14ac:dyDescent="0.25">
      <c r="C118" s="472" t="s">
        <v>378</v>
      </c>
      <c r="E118" s="443">
        <v>52194</v>
      </c>
      <c r="F118" s="443">
        <v>1853.0099999999984</v>
      </c>
      <c r="G118" s="443">
        <v>3138.82</v>
      </c>
      <c r="H118" s="443">
        <v>4082.9</v>
      </c>
      <c r="I118" s="443">
        <v>567.66</v>
      </c>
      <c r="J118" s="443">
        <v>4159.3</v>
      </c>
      <c r="K118" s="443">
        <v>4937.4799999999996</v>
      </c>
      <c r="L118" s="443">
        <v>795.91</v>
      </c>
      <c r="M118" s="443">
        <v>2328.27</v>
      </c>
      <c r="N118" s="440">
        <v>74057.350000000006</v>
      </c>
      <c r="O118" s="443">
        <v>500</v>
      </c>
      <c r="P118" s="443">
        <v>1463098.8247648198</v>
      </c>
      <c r="Q118" s="443">
        <v>1454329.7472648621</v>
      </c>
      <c r="R118" s="443">
        <v>2991985.922029682</v>
      </c>
    </row>
    <row r="119" spans="2:18" ht="14.25" hidden="1" x14ac:dyDescent="0.25">
      <c r="B119" t="s">
        <v>648</v>
      </c>
      <c r="C119" s="471" t="s">
        <v>381</v>
      </c>
      <c r="D119" t="s">
        <v>648</v>
      </c>
      <c r="E119" s="439">
        <v>25532.11</v>
      </c>
      <c r="F119" s="439">
        <v>25283.57</v>
      </c>
      <c r="G119" s="439">
        <v>27318.129999999997</v>
      </c>
      <c r="H119" s="439">
        <v>26023.41</v>
      </c>
      <c r="I119" s="439">
        <v>32715.880000000005</v>
      </c>
      <c r="J119" s="439">
        <v>30800.83</v>
      </c>
      <c r="K119" s="439">
        <v>33579.479999999996</v>
      </c>
      <c r="L119" s="439">
        <v>30229.629999999997</v>
      </c>
      <c r="M119" s="439">
        <v>31181.629999999997</v>
      </c>
      <c r="N119" s="440">
        <v>262664.67</v>
      </c>
      <c r="O119" s="439">
        <v>31433</v>
      </c>
      <c r="P119" s="439">
        <v>31433</v>
      </c>
      <c r="Q119" s="439">
        <v>34495.39</v>
      </c>
      <c r="R119" s="439">
        <v>360026.06</v>
      </c>
    </row>
    <row r="120" spans="2:18" ht="14.25" hidden="1" x14ac:dyDescent="0.25">
      <c r="C120" s="472"/>
      <c r="E120" s="443">
        <v>25532.11</v>
      </c>
      <c r="F120" s="443">
        <v>25283.57</v>
      </c>
      <c r="G120" s="443">
        <v>27318.129999999997</v>
      </c>
      <c r="H120" s="443">
        <v>26023.41</v>
      </c>
      <c r="I120" s="443">
        <v>32715.880000000005</v>
      </c>
      <c r="J120" s="443">
        <v>30800.83</v>
      </c>
      <c r="K120" s="443">
        <v>33579.479999999996</v>
      </c>
      <c r="L120" s="443">
        <v>30229.629999999997</v>
      </c>
      <c r="M120" s="443">
        <v>31181.629999999997</v>
      </c>
      <c r="N120" s="440">
        <v>262664.67</v>
      </c>
      <c r="O120" s="443">
        <v>31433</v>
      </c>
      <c r="P120" s="443">
        <v>31433</v>
      </c>
      <c r="Q120" s="443">
        <v>34495.39</v>
      </c>
      <c r="R120" s="443">
        <v>360026.06</v>
      </c>
    </row>
    <row r="121" spans="2:18" ht="14.25" hidden="1" x14ac:dyDescent="0.25">
      <c r="C121" s="469"/>
      <c r="E121" s="445">
        <v>0</v>
      </c>
      <c r="F121" s="445">
        <v>0</v>
      </c>
      <c r="G121" s="445">
        <v>0</v>
      </c>
      <c r="H121" s="445">
        <v>0</v>
      </c>
      <c r="I121" s="445">
        <v>0</v>
      </c>
      <c r="J121" s="445">
        <v>0</v>
      </c>
      <c r="K121" s="445">
        <v>0</v>
      </c>
      <c r="L121" s="445">
        <v>0</v>
      </c>
      <c r="M121" s="445">
        <v>0</v>
      </c>
      <c r="N121" s="440">
        <v>0</v>
      </c>
      <c r="O121" s="445">
        <v>0</v>
      </c>
      <c r="P121" s="445">
        <v>0</v>
      </c>
      <c r="Q121" s="445">
        <v>0</v>
      </c>
      <c r="R121" s="445">
        <v>0</v>
      </c>
    </row>
    <row r="122" spans="2:18" ht="14.25" hidden="1" x14ac:dyDescent="0.25">
      <c r="B122" t="s">
        <v>648</v>
      </c>
      <c r="C122" s="470"/>
      <c r="D122" t="s">
        <v>648</v>
      </c>
      <c r="E122" s="446">
        <v>214180.96</v>
      </c>
      <c r="F122" s="446">
        <v>218446.95999999996</v>
      </c>
      <c r="G122" s="446">
        <v>245138.76000000007</v>
      </c>
      <c r="H122" s="446">
        <v>237501.95999999996</v>
      </c>
      <c r="I122" s="446">
        <v>249490.21999999997</v>
      </c>
      <c r="J122" s="446">
        <v>232770.78000000003</v>
      </c>
      <c r="K122" s="446">
        <v>224690.80000000002</v>
      </c>
      <c r="L122" s="446">
        <v>198452.23</v>
      </c>
      <c r="M122" s="446">
        <v>197945.07</v>
      </c>
      <c r="N122" s="440">
        <v>2018617.74</v>
      </c>
      <c r="O122" s="446">
        <v>248427</v>
      </c>
      <c r="P122" s="446">
        <v>210143</v>
      </c>
      <c r="Q122" s="446">
        <v>209117</v>
      </c>
      <c r="R122" s="446">
        <v>2686304.74</v>
      </c>
    </row>
    <row r="123" spans="2:18" ht="14.25" hidden="1" x14ac:dyDescent="0.25">
      <c r="C123" s="473"/>
      <c r="E123" s="453">
        <v>880252.55999999994</v>
      </c>
      <c r="F123" s="453">
        <v>762047.91999999993</v>
      </c>
      <c r="G123" s="453">
        <v>901156.58</v>
      </c>
      <c r="H123" s="453">
        <v>1071535.1199999999</v>
      </c>
      <c r="I123" s="453">
        <v>1084926.75</v>
      </c>
      <c r="J123" s="453">
        <v>1122502.42</v>
      </c>
      <c r="K123" s="453">
        <v>875754.3</v>
      </c>
      <c r="L123" s="453">
        <v>895957.13000000012</v>
      </c>
      <c r="M123" s="453">
        <v>1350224.6400000001</v>
      </c>
      <c r="N123" s="440">
        <v>8944357.4199999999</v>
      </c>
      <c r="O123" s="453">
        <v>1571544.5299999998</v>
      </c>
      <c r="P123" s="453">
        <v>2984943.9597648196</v>
      </c>
      <c r="Q123" s="453">
        <v>3013370.9393161442</v>
      </c>
      <c r="R123" s="453">
        <v>16514216.849080963</v>
      </c>
    </row>
    <row r="124" spans="2:18" ht="14.25" hidden="1" x14ac:dyDescent="0.25">
      <c r="B124" t="s">
        <v>648</v>
      </c>
      <c r="C124" s="474"/>
      <c r="D124" t="s">
        <v>648</v>
      </c>
      <c r="E124" s="454">
        <v>29778.019999999997</v>
      </c>
      <c r="F124" s="454">
        <v>19171.370000000006</v>
      </c>
      <c r="G124" s="454">
        <v>32770.799999999996</v>
      </c>
      <c r="H124" s="454">
        <v>-2012.1699999999998</v>
      </c>
      <c r="I124" s="454">
        <v>-198.72000000000003</v>
      </c>
      <c r="J124" s="454">
        <v>10387.08</v>
      </c>
      <c r="K124" s="454">
        <v>-10387.08</v>
      </c>
      <c r="L124" s="454">
        <v>0</v>
      </c>
      <c r="M124" s="455">
        <v>0</v>
      </c>
      <c r="N124" s="440">
        <v>79509.3</v>
      </c>
      <c r="O124" s="455">
        <v>0</v>
      </c>
      <c r="P124" s="455">
        <v>0</v>
      </c>
      <c r="Q124" s="455">
        <v>0</v>
      </c>
      <c r="R124" s="455">
        <v>79509.3</v>
      </c>
    </row>
    <row r="125" spans="2:18" ht="14.25" hidden="1" x14ac:dyDescent="0.25">
      <c r="C125" s="478"/>
      <c r="E125" s="451">
        <v>2220028.61</v>
      </c>
      <c r="F125" s="451">
        <v>2349972.17</v>
      </c>
      <c r="G125" s="451">
        <v>2545333.7199999997</v>
      </c>
      <c r="H125" s="451">
        <v>2982423.5199999996</v>
      </c>
      <c r="I125" s="451">
        <v>3319139.66</v>
      </c>
      <c r="J125" s="451">
        <v>2948164.4000000004</v>
      </c>
      <c r="K125" s="451">
        <v>2305329.6100000003</v>
      </c>
      <c r="L125" s="451">
        <v>2370445.29</v>
      </c>
      <c r="M125" s="451">
        <v>2833253.59</v>
      </c>
      <c r="N125" s="440">
        <v>23874090.57</v>
      </c>
      <c r="O125" s="451">
        <v>3296929.0892440444</v>
      </c>
      <c r="P125" s="451">
        <v>5026891.4144691294</v>
      </c>
      <c r="Q125" s="451">
        <v>4940406.1268500322</v>
      </c>
      <c r="R125" s="451">
        <v>37138317.200563207</v>
      </c>
    </row>
    <row r="126" spans="2:18" ht="14.25" hidden="1" x14ac:dyDescent="0.25">
      <c r="C126" s="480"/>
      <c r="E126" s="456">
        <v>21114653.289999999</v>
      </c>
      <c r="F126" s="456">
        <v>29894386.389999993</v>
      </c>
      <c r="G126" s="456">
        <v>28997608.969999999</v>
      </c>
      <c r="H126" s="456">
        <v>28241245.439999998</v>
      </c>
      <c r="I126" s="456">
        <v>28921121.052228998</v>
      </c>
      <c r="J126" s="456">
        <v>32723327.789999999</v>
      </c>
      <c r="K126" s="456">
        <v>30506856.340000004</v>
      </c>
      <c r="L126" s="456">
        <v>31708210.509999998</v>
      </c>
      <c r="M126" s="456">
        <v>34132600.780000001</v>
      </c>
      <c r="N126" s="440">
        <v>266240010.56222898</v>
      </c>
      <c r="O126" s="456">
        <v>40748372.714387871</v>
      </c>
      <c r="P126" s="456">
        <v>61813055.967411451</v>
      </c>
      <c r="Q126" s="456">
        <v>65971500.095719114</v>
      </c>
      <c r="R126" s="456">
        <v>434772939.33974743</v>
      </c>
    </row>
    <row r="127" spans="2:18" ht="14.25" hidden="1" x14ac:dyDescent="0.25">
      <c r="C127" s="468"/>
      <c r="E127" s="457"/>
      <c r="F127" s="457"/>
      <c r="G127" s="457"/>
      <c r="H127" s="457"/>
      <c r="I127" s="457"/>
      <c r="J127" s="457"/>
      <c r="K127" s="457"/>
      <c r="L127" s="457"/>
      <c r="M127" s="457"/>
      <c r="N127" s="440">
        <v>0</v>
      </c>
      <c r="O127" s="457"/>
      <c r="P127" s="457"/>
      <c r="Q127" s="457"/>
      <c r="R127" s="440"/>
    </row>
    <row r="128" spans="2:18" ht="14.25" hidden="1" x14ac:dyDescent="0.25">
      <c r="C128" s="481" t="s">
        <v>389</v>
      </c>
      <c r="E128" s="458">
        <v>0</v>
      </c>
      <c r="F128" s="458">
        <v>0</v>
      </c>
      <c r="G128" s="458">
        <v>0</v>
      </c>
      <c r="H128" s="458">
        <v>0</v>
      </c>
      <c r="I128" s="458">
        <v>0</v>
      </c>
      <c r="J128" s="458">
        <v>0</v>
      </c>
      <c r="K128" s="458">
        <v>0</v>
      </c>
      <c r="L128" s="458">
        <v>0</v>
      </c>
      <c r="M128" s="458">
        <v>0</v>
      </c>
      <c r="N128" s="440">
        <v>0</v>
      </c>
      <c r="O128" s="458">
        <v>0</v>
      </c>
      <c r="P128" s="458">
        <v>0</v>
      </c>
      <c r="Q128" s="458">
        <v>0</v>
      </c>
      <c r="R128" s="458">
        <v>0</v>
      </c>
    </row>
    <row r="129" spans="2:18" ht="14.25" hidden="1" x14ac:dyDescent="0.25">
      <c r="C129" s="482"/>
      <c r="E129" s="459">
        <v>21114653.289999999</v>
      </c>
      <c r="F129" s="459">
        <v>29894386.389999993</v>
      </c>
      <c r="G129" s="459">
        <v>28997608.969999999</v>
      </c>
      <c r="H129" s="459">
        <v>28241245.439999998</v>
      </c>
      <c r="I129" s="459">
        <v>28921121.052228998</v>
      </c>
      <c r="J129" s="459">
        <v>32723327.789999999</v>
      </c>
      <c r="K129" s="459">
        <v>30506856.340000004</v>
      </c>
      <c r="L129" s="459">
        <v>31708210.509999998</v>
      </c>
      <c r="M129" s="459">
        <v>34132600.780000001</v>
      </c>
      <c r="N129" s="440">
        <v>266240010.56222898</v>
      </c>
      <c r="O129" s="459">
        <v>40748372.714387871</v>
      </c>
      <c r="P129" s="459">
        <v>61813055.967411451</v>
      </c>
      <c r="Q129" s="459">
        <v>65971500.095719114</v>
      </c>
      <c r="R129" s="459">
        <v>434772939.33974743</v>
      </c>
    </row>
    <row r="136" spans="2:18" x14ac:dyDescent="0.25">
      <c r="B136" s="485" t="s">
        <v>650</v>
      </c>
      <c r="C136" t="s">
        <v>652</v>
      </c>
      <c r="D136" t="s">
        <v>653</v>
      </c>
    </row>
    <row r="137" spans="2:18" x14ac:dyDescent="0.25">
      <c r="B137" s="486" t="s">
        <v>188</v>
      </c>
      <c r="C137" s="487">
        <v>2688.94</v>
      </c>
      <c r="D137" s="487">
        <v>17689</v>
      </c>
    </row>
    <row r="138" spans="2:18" x14ac:dyDescent="0.25">
      <c r="B138" s="490" t="s">
        <v>188</v>
      </c>
      <c r="C138" s="487">
        <v>2688.94</v>
      </c>
      <c r="D138" s="487">
        <v>17689</v>
      </c>
    </row>
    <row r="139" spans="2:18" x14ac:dyDescent="0.25">
      <c r="B139" s="486" t="s">
        <v>656</v>
      </c>
      <c r="C139" s="487">
        <v>107237283.02</v>
      </c>
      <c r="D139" s="487">
        <v>191575446.76164639</v>
      </c>
    </row>
    <row r="140" spans="2:18" x14ac:dyDescent="0.25">
      <c r="B140" s="490" t="s">
        <v>73</v>
      </c>
      <c r="C140" s="487">
        <v>330289.86</v>
      </c>
      <c r="D140" s="487">
        <v>487766.5</v>
      </c>
    </row>
    <row r="141" spans="2:18" x14ac:dyDescent="0.25">
      <c r="B141" s="490" t="s">
        <v>48</v>
      </c>
      <c r="C141" s="487">
        <v>3654637.61</v>
      </c>
      <c r="D141" s="487">
        <v>7681153.4853328103</v>
      </c>
    </row>
    <row r="142" spans="2:18" x14ac:dyDescent="0.25">
      <c r="B142" s="490" t="s">
        <v>70</v>
      </c>
      <c r="C142" s="487">
        <v>420614.40000000002</v>
      </c>
      <c r="D142" s="487">
        <v>795104.29</v>
      </c>
    </row>
    <row r="143" spans="2:18" x14ac:dyDescent="0.25">
      <c r="B143" s="490" t="s">
        <v>59</v>
      </c>
      <c r="C143" s="487">
        <v>7555650.4900000002</v>
      </c>
      <c r="D143" s="487">
        <v>14950360.800000001</v>
      </c>
    </row>
    <row r="144" spans="2:18" x14ac:dyDescent="0.25">
      <c r="B144" s="490" t="s">
        <v>54</v>
      </c>
      <c r="C144" s="487">
        <v>12719495.07</v>
      </c>
      <c r="D144" s="487">
        <v>19982261.028172135</v>
      </c>
    </row>
    <row r="145" spans="2:4" x14ac:dyDescent="0.25">
      <c r="B145" s="490" t="s">
        <v>68</v>
      </c>
      <c r="C145" s="487">
        <v>2394679.0100000002</v>
      </c>
      <c r="D145" s="487">
        <v>2732742.8881414291</v>
      </c>
    </row>
    <row r="146" spans="2:4" x14ac:dyDescent="0.25">
      <c r="B146" s="490" t="s">
        <v>76</v>
      </c>
      <c r="C146" s="487">
        <v>58415.21</v>
      </c>
      <c r="D146" s="487">
        <v>50000.17</v>
      </c>
    </row>
    <row r="147" spans="2:4" x14ac:dyDescent="0.25">
      <c r="B147" s="490" t="s">
        <v>75</v>
      </c>
      <c r="C147" s="487">
        <v>3609656.79</v>
      </c>
      <c r="D147" s="487">
        <v>7673099.79</v>
      </c>
    </row>
    <row r="148" spans="2:4" x14ac:dyDescent="0.25">
      <c r="B148" s="490" t="s">
        <v>62</v>
      </c>
      <c r="C148" s="487">
        <v>5074915.32</v>
      </c>
      <c r="D148" s="487">
        <v>9790930.290000001</v>
      </c>
    </row>
    <row r="149" spans="2:4" x14ac:dyDescent="0.25">
      <c r="B149" s="490" t="s">
        <v>51</v>
      </c>
      <c r="C149" s="487">
        <v>32469677.84</v>
      </c>
      <c r="D149" s="487">
        <v>68442698.75</v>
      </c>
    </row>
    <row r="150" spans="2:4" x14ac:dyDescent="0.25">
      <c r="B150" s="490" t="s">
        <v>45</v>
      </c>
      <c r="C150" s="487">
        <v>33828480.369999997</v>
      </c>
      <c r="D150" s="487">
        <v>50707778.210000008</v>
      </c>
    </row>
    <row r="151" spans="2:4" x14ac:dyDescent="0.25">
      <c r="B151" s="490" t="s">
        <v>65</v>
      </c>
      <c r="C151" s="487">
        <v>5120771.05</v>
      </c>
      <c r="D151" s="487">
        <v>8281550.5600000005</v>
      </c>
    </row>
    <row r="152" spans="2:4" x14ac:dyDescent="0.25">
      <c r="B152" s="486" t="s">
        <v>657</v>
      </c>
      <c r="C152" s="487">
        <v>19297465.940000001</v>
      </c>
      <c r="D152" s="487">
        <v>35328296.271450408</v>
      </c>
    </row>
    <row r="153" spans="2:4" x14ac:dyDescent="0.25">
      <c r="B153" s="490" t="s">
        <v>106</v>
      </c>
      <c r="C153" s="487">
        <v>19201.850000000006</v>
      </c>
      <c r="D153" s="487">
        <v>25597.686666666676</v>
      </c>
    </row>
    <row r="154" spans="2:4" x14ac:dyDescent="0.25">
      <c r="B154" s="490" t="s">
        <v>85</v>
      </c>
      <c r="C154" s="487">
        <v>641735.94000000006</v>
      </c>
      <c r="D154" s="487">
        <v>952728.30075480277</v>
      </c>
    </row>
    <row r="155" spans="2:4" x14ac:dyDescent="0.25">
      <c r="B155" s="490" t="s">
        <v>103</v>
      </c>
      <c r="C155" s="487">
        <v>211254.39999999999</v>
      </c>
      <c r="D155" s="487">
        <v>398363.07999999996</v>
      </c>
    </row>
    <row r="156" spans="2:4" x14ac:dyDescent="0.25">
      <c r="B156" s="490" t="s">
        <v>91</v>
      </c>
      <c r="C156" s="487">
        <v>2188213.89</v>
      </c>
      <c r="D156" s="487">
        <v>3225468.1653709263</v>
      </c>
    </row>
    <row r="157" spans="2:4" x14ac:dyDescent="0.25">
      <c r="B157" s="490" t="s">
        <v>101</v>
      </c>
      <c r="C157" s="487">
        <v>291359.12</v>
      </c>
      <c r="D157" s="487">
        <v>481386.44865800627</v>
      </c>
    </row>
    <row r="158" spans="2:4" x14ac:dyDescent="0.25">
      <c r="B158" s="490" t="s">
        <v>108</v>
      </c>
      <c r="C158" s="487">
        <v>1250917.9199999997</v>
      </c>
      <c r="D158" s="487">
        <v>2858690.3499999992</v>
      </c>
    </row>
    <row r="159" spans="2:4" x14ac:dyDescent="0.25">
      <c r="B159" s="490" t="s">
        <v>95</v>
      </c>
      <c r="C159" s="487">
        <v>2716976.9400000004</v>
      </c>
      <c r="D159" s="487">
        <v>4979985.1900000013</v>
      </c>
    </row>
    <row r="160" spans="2:4" x14ac:dyDescent="0.25">
      <c r="B160" s="490" t="s">
        <v>88</v>
      </c>
      <c r="C160" s="487">
        <v>5272772.5</v>
      </c>
      <c r="D160" s="487">
        <v>9283906.7400000002</v>
      </c>
    </row>
    <row r="161" spans="2:4" x14ac:dyDescent="0.25">
      <c r="B161" s="490" t="s">
        <v>82</v>
      </c>
      <c r="C161" s="487">
        <v>5763500.0099999998</v>
      </c>
      <c r="D161" s="487">
        <v>11535690.529999999</v>
      </c>
    </row>
    <row r="162" spans="2:4" x14ac:dyDescent="0.25">
      <c r="B162" s="490" t="s">
        <v>98</v>
      </c>
      <c r="C162" s="487">
        <v>941533.37</v>
      </c>
      <c r="D162" s="487">
        <v>1586479.7799999998</v>
      </c>
    </row>
    <row r="163" spans="2:4" x14ac:dyDescent="0.25">
      <c r="B163" s="486" t="s">
        <v>184</v>
      </c>
      <c r="C163" s="487">
        <v>4340353.6600000011</v>
      </c>
      <c r="D163" s="487">
        <v>7652565.6300000008</v>
      </c>
    </row>
    <row r="164" spans="2:4" x14ac:dyDescent="0.25">
      <c r="B164" s="490" t="s">
        <v>184</v>
      </c>
      <c r="C164" s="487">
        <v>4340353.6600000011</v>
      </c>
      <c r="D164" s="487">
        <v>7652565.6300000008</v>
      </c>
    </row>
    <row r="165" spans="2:4" x14ac:dyDescent="0.25">
      <c r="B165" s="486" t="s">
        <v>391</v>
      </c>
      <c r="C165" s="487">
        <v>6659423.0999999996</v>
      </c>
      <c r="D165" s="487">
        <v>8240064.7924999995</v>
      </c>
    </row>
    <row r="166" spans="2:4" x14ac:dyDescent="0.25">
      <c r="B166" s="490" t="s">
        <v>391</v>
      </c>
      <c r="C166" s="487">
        <v>6659423.0999999996</v>
      </c>
      <c r="D166" s="487">
        <v>8240064.7924999995</v>
      </c>
    </row>
    <row r="167" spans="2:4" x14ac:dyDescent="0.25">
      <c r="B167" s="486" t="s">
        <v>655</v>
      </c>
      <c r="C167" s="487">
        <v>80381635.462228984</v>
      </c>
      <c r="D167" s="487">
        <v>118400686.02970475</v>
      </c>
    </row>
    <row r="168" spans="2:4" x14ac:dyDescent="0.25">
      <c r="B168" s="490" t="s">
        <v>171</v>
      </c>
      <c r="C168" s="487">
        <v>1492210.21</v>
      </c>
      <c r="D168" s="487">
        <v>2211908.41</v>
      </c>
    </row>
    <row r="169" spans="2:4" x14ac:dyDescent="0.25">
      <c r="B169" s="490" t="s">
        <v>177</v>
      </c>
      <c r="C169" s="487">
        <v>1087851.6000000001</v>
      </c>
      <c r="D169" s="487">
        <v>2406926.4900000002</v>
      </c>
    </row>
    <row r="170" spans="2:4" x14ac:dyDescent="0.25">
      <c r="B170" s="490" t="s">
        <v>179</v>
      </c>
      <c r="C170" s="487">
        <v>219711.10222899998</v>
      </c>
      <c r="D170" s="487">
        <v>1395923.232229</v>
      </c>
    </row>
    <row r="171" spans="2:4" x14ac:dyDescent="0.25">
      <c r="B171" s="490" t="s">
        <v>161</v>
      </c>
      <c r="C171" s="487">
        <v>22352333.219999999</v>
      </c>
      <c r="D171" s="487">
        <v>31865461.971111819</v>
      </c>
    </row>
    <row r="172" spans="2:4" x14ac:dyDescent="0.25">
      <c r="B172" s="490" t="s">
        <v>164</v>
      </c>
      <c r="C172" s="487">
        <v>982729.16</v>
      </c>
      <c r="D172" s="487">
        <v>1837430.2618584</v>
      </c>
    </row>
    <row r="173" spans="2:4" x14ac:dyDescent="0.25">
      <c r="B173" s="490" t="s">
        <v>169</v>
      </c>
      <c r="C173" s="487">
        <v>12060626.099999998</v>
      </c>
      <c r="D173" s="487">
        <v>15258070.869999999</v>
      </c>
    </row>
    <row r="174" spans="2:4" x14ac:dyDescent="0.25">
      <c r="B174" s="490" t="s">
        <v>413</v>
      </c>
      <c r="C174" s="487">
        <v>16192988.889999997</v>
      </c>
      <c r="D174" s="487">
        <v>22735591.999999996</v>
      </c>
    </row>
    <row r="175" spans="2:4" x14ac:dyDescent="0.25">
      <c r="B175" s="490" t="s">
        <v>158</v>
      </c>
      <c r="C175" s="487">
        <v>4022780.65</v>
      </c>
      <c r="D175" s="487">
        <v>5312782.0199999996</v>
      </c>
    </row>
    <row r="176" spans="2:4" x14ac:dyDescent="0.25">
      <c r="B176" s="490" t="s">
        <v>155</v>
      </c>
      <c r="C176" s="487">
        <v>16781459.459999997</v>
      </c>
      <c r="D176" s="487">
        <v>26280443.809999999</v>
      </c>
    </row>
    <row r="177" spans="2:4" x14ac:dyDescent="0.25">
      <c r="B177" s="490" t="s">
        <v>174</v>
      </c>
      <c r="C177" s="487">
        <v>5188945.0699999994</v>
      </c>
      <c r="D177" s="487">
        <v>9096146.9645055421</v>
      </c>
    </row>
    <row r="178" spans="2:4" x14ac:dyDescent="0.25">
      <c r="B178" s="486" t="s">
        <v>408</v>
      </c>
      <c r="C178" s="487">
        <v>25954609.689999998</v>
      </c>
      <c r="D178" s="487">
        <v>38964609.361037768</v>
      </c>
    </row>
    <row r="179" spans="2:4" x14ac:dyDescent="0.25">
      <c r="B179" s="490" t="s">
        <v>139</v>
      </c>
      <c r="C179" s="487">
        <v>115889.39</v>
      </c>
      <c r="D179" s="487">
        <v>187250.58000000002</v>
      </c>
    </row>
    <row r="180" spans="2:4" x14ac:dyDescent="0.25">
      <c r="B180" s="490" t="s">
        <v>147</v>
      </c>
      <c r="C180" s="487">
        <v>366534.18</v>
      </c>
      <c r="D180" s="487">
        <v>725549.44</v>
      </c>
    </row>
    <row r="181" spans="2:4" x14ac:dyDescent="0.25">
      <c r="B181" s="490" t="s">
        <v>150</v>
      </c>
      <c r="C181" s="487">
        <v>6849828.7199999997</v>
      </c>
      <c r="D181" s="487">
        <v>8618952.3300000019</v>
      </c>
    </row>
    <row r="182" spans="2:4" x14ac:dyDescent="0.25">
      <c r="B182" s="490" t="s">
        <v>118</v>
      </c>
      <c r="C182" s="487">
        <v>2782708.1399999997</v>
      </c>
      <c r="D182" s="487">
        <v>4118513.53</v>
      </c>
    </row>
    <row r="183" spans="2:4" x14ac:dyDescent="0.25">
      <c r="B183" s="490" t="s">
        <v>130</v>
      </c>
      <c r="C183" s="487">
        <v>1651033.29</v>
      </c>
      <c r="D183" s="487">
        <v>2792688.7710377667</v>
      </c>
    </row>
    <row r="184" spans="2:4" x14ac:dyDescent="0.25">
      <c r="B184" s="490" t="s">
        <v>136</v>
      </c>
      <c r="C184" s="487">
        <v>908261.95000000019</v>
      </c>
      <c r="D184" s="487">
        <v>938394.75000000023</v>
      </c>
    </row>
    <row r="185" spans="2:4" x14ac:dyDescent="0.25">
      <c r="B185" s="490" t="s">
        <v>124</v>
      </c>
      <c r="C185" s="487">
        <v>4655154.1000000006</v>
      </c>
      <c r="D185" s="487">
        <v>6208638.5600000015</v>
      </c>
    </row>
    <row r="186" spans="2:4" x14ac:dyDescent="0.25">
      <c r="B186" s="490" t="s">
        <v>142</v>
      </c>
      <c r="C186" s="487">
        <v>175056.12999999998</v>
      </c>
      <c r="D186" s="487">
        <v>3754126.3</v>
      </c>
    </row>
    <row r="187" spans="2:4" x14ac:dyDescent="0.25">
      <c r="B187" s="490" t="s">
        <v>133</v>
      </c>
      <c r="C187" s="487">
        <v>8142179.3300000001</v>
      </c>
      <c r="D187" s="487">
        <v>11132478.59</v>
      </c>
    </row>
    <row r="188" spans="2:4" x14ac:dyDescent="0.25">
      <c r="B188" s="490" t="s">
        <v>127</v>
      </c>
      <c r="C188" s="487">
        <v>307964.46000000002</v>
      </c>
      <c r="D188" s="487">
        <v>488016.51</v>
      </c>
    </row>
    <row r="189" spans="2:4" x14ac:dyDescent="0.25">
      <c r="B189" s="486" t="s">
        <v>654</v>
      </c>
      <c r="C189" s="487">
        <v>3066669.64</v>
      </c>
      <c r="D189" s="487">
        <v>5321016.2400000012</v>
      </c>
    </row>
    <row r="190" spans="2:4" x14ac:dyDescent="0.25">
      <c r="B190" s="490" t="s">
        <v>445</v>
      </c>
      <c r="C190" s="487">
        <v>3066669.64</v>
      </c>
      <c r="D190" s="487">
        <v>5321016.2400000012</v>
      </c>
    </row>
    <row r="191" spans="2:4" x14ac:dyDescent="0.25">
      <c r="B191" s="486" t="s">
        <v>648</v>
      </c>
      <c r="C191" s="487">
        <v>19299881.109999999</v>
      </c>
      <c r="D191" s="487">
        <v>29272565.253408127</v>
      </c>
    </row>
    <row r="192" spans="2:4" x14ac:dyDescent="0.25">
      <c r="B192" s="490" t="s">
        <v>648</v>
      </c>
      <c r="C192" s="487">
        <v>19299881.109999999</v>
      </c>
      <c r="D192" s="487">
        <v>29272565.253408127</v>
      </c>
    </row>
    <row r="193" spans="2:4" x14ac:dyDescent="0.25">
      <c r="B193" s="486" t="s">
        <v>651</v>
      </c>
      <c r="C193" s="487">
        <v>266240010.56222892</v>
      </c>
      <c r="D193" s="487">
        <v>434772939.33974743</v>
      </c>
    </row>
    <row r="194" spans="2:4" x14ac:dyDescent="0.25">
      <c r="C194"/>
    </row>
    <row r="195" spans="2:4" x14ac:dyDescent="0.25">
      <c r="C195"/>
    </row>
    <row r="196" spans="2:4" x14ac:dyDescent="0.25">
      <c r="C196"/>
    </row>
    <row r="197" spans="2:4" x14ac:dyDescent="0.25">
      <c r="B197" t="s">
        <v>171</v>
      </c>
      <c r="C197">
        <v>1492210.21</v>
      </c>
      <c r="D197">
        <v>2211908.41</v>
      </c>
    </row>
    <row r="198" spans="2:4" x14ac:dyDescent="0.25">
      <c r="B198" t="s">
        <v>177</v>
      </c>
      <c r="C198">
        <v>1087851.6000000001</v>
      </c>
      <c r="D198">
        <v>2406926.4900000002</v>
      </c>
    </row>
    <row r="199" spans="2:4" x14ac:dyDescent="0.25">
      <c r="B199" t="s">
        <v>139</v>
      </c>
      <c r="C199">
        <v>115889.39</v>
      </c>
      <c r="D199">
        <v>187250.58000000002</v>
      </c>
    </row>
    <row r="200" spans="2:4" x14ac:dyDescent="0.25">
      <c r="B200" t="s">
        <v>147</v>
      </c>
      <c r="C200">
        <v>366534.18</v>
      </c>
      <c r="D200">
        <v>725549.44</v>
      </c>
    </row>
    <row r="201" spans="2:4" x14ac:dyDescent="0.25">
      <c r="B201" t="s">
        <v>188</v>
      </c>
      <c r="C201">
        <v>2688.94</v>
      </c>
      <c r="D201">
        <v>17689</v>
      </c>
    </row>
    <row r="202" spans="2:4" x14ac:dyDescent="0.25">
      <c r="B202" t="s">
        <v>73</v>
      </c>
      <c r="C202">
        <v>330289.86</v>
      </c>
      <c r="D202">
        <v>487766.5</v>
      </c>
    </row>
    <row r="203" spans="2:4" x14ac:dyDescent="0.25">
      <c r="B203" t="s">
        <v>106</v>
      </c>
      <c r="C203">
        <v>19201.850000000006</v>
      </c>
      <c r="D203">
        <v>25597.686666666676</v>
      </c>
    </row>
    <row r="204" spans="2:4" x14ac:dyDescent="0.25">
      <c r="B204" t="s">
        <v>150</v>
      </c>
      <c r="C204">
        <v>6849828.7199999997</v>
      </c>
      <c r="D204">
        <v>8618952.3300000019</v>
      </c>
    </row>
    <row r="205" spans="2:4" x14ac:dyDescent="0.25">
      <c r="B205" t="s">
        <v>48</v>
      </c>
      <c r="C205">
        <v>3654637.61</v>
      </c>
      <c r="D205">
        <v>7681153.4853328103</v>
      </c>
    </row>
    <row r="206" spans="2:4" x14ac:dyDescent="0.25">
      <c r="B206" t="s">
        <v>85</v>
      </c>
      <c r="C206">
        <v>641735.94000000006</v>
      </c>
      <c r="D206">
        <v>952728.30075480277</v>
      </c>
    </row>
    <row r="207" spans="2:4" x14ac:dyDescent="0.25">
      <c r="B207" t="s">
        <v>184</v>
      </c>
      <c r="C207">
        <v>4340353.6600000011</v>
      </c>
      <c r="D207">
        <v>7652565.6300000008</v>
      </c>
    </row>
    <row r="208" spans="2:4" x14ac:dyDescent="0.25">
      <c r="B208" t="s">
        <v>391</v>
      </c>
      <c r="C208">
        <v>6659423.0999999996</v>
      </c>
      <c r="D208">
        <v>8240064.7924999995</v>
      </c>
    </row>
    <row r="209" spans="2:4" x14ac:dyDescent="0.25">
      <c r="B209" t="s">
        <v>70</v>
      </c>
      <c r="C209">
        <v>420614.40000000002</v>
      </c>
      <c r="D209">
        <v>795104.29</v>
      </c>
    </row>
    <row r="210" spans="2:4" x14ac:dyDescent="0.25">
      <c r="B210" t="s">
        <v>103</v>
      </c>
      <c r="C210">
        <v>211254.39999999999</v>
      </c>
      <c r="D210">
        <v>398363.07999999996</v>
      </c>
    </row>
    <row r="211" spans="2:4" x14ac:dyDescent="0.25">
      <c r="B211" t="s">
        <v>118</v>
      </c>
      <c r="C211">
        <v>2782708.1399999997</v>
      </c>
      <c r="D211">
        <v>4118513.53</v>
      </c>
    </row>
    <row r="212" spans="2:4" x14ac:dyDescent="0.25">
      <c r="B212" t="s">
        <v>179</v>
      </c>
      <c r="C212">
        <v>219711.10222899998</v>
      </c>
      <c r="D212">
        <v>1395923.232229</v>
      </c>
    </row>
    <row r="213" spans="2:4" x14ac:dyDescent="0.25">
      <c r="B213" t="s">
        <v>59</v>
      </c>
      <c r="C213">
        <v>7555650.4900000002</v>
      </c>
      <c r="D213">
        <v>14950360.800000001</v>
      </c>
    </row>
    <row r="214" spans="2:4" x14ac:dyDescent="0.25">
      <c r="B214" t="s">
        <v>445</v>
      </c>
      <c r="C214">
        <v>3066669.64</v>
      </c>
      <c r="D214">
        <v>5321016.2400000012</v>
      </c>
    </row>
    <row r="215" spans="2:4" x14ac:dyDescent="0.25">
      <c r="B215" t="s">
        <v>54</v>
      </c>
      <c r="C215">
        <v>12719495.07</v>
      </c>
      <c r="D215">
        <v>19982261.028172135</v>
      </c>
    </row>
    <row r="216" spans="2:4" x14ac:dyDescent="0.25">
      <c r="B216" t="s">
        <v>91</v>
      </c>
      <c r="C216">
        <v>2188213.89</v>
      </c>
      <c r="D216">
        <v>3225468.1653709263</v>
      </c>
    </row>
    <row r="217" spans="2:4" x14ac:dyDescent="0.25">
      <c r="B217" t="s">
        <v>161</v>
      </c>
      <c r="C217">
        <v>22352333.219999999</v>
      </c>
      <c r="D217">
        <v>31865461.971111819</v>
      </c>
    </row>
    <row r="218" spans="2:4" x14ac:dyDescent="0.25">
      <c r="B218" t="s">
        <v>130</v>
      </c>
      <c r="C218">
        <v>1651033.29</v>
      </c>
      <c r="D218">
        <v>2792688.7710377667</v>
      </c>
    </row>
    <row r="219" spans="2:4" x14ac:dyDescent="0.25">
      <c r="B219" t="s">
        <v>164</v>
      </c>
      <c r="C219">
        <v>982729.16</v>
      </c>
      <c r="D219">
        <v>1837430.2618584</v>
      </c>
    </row>
    <row r="220" spans="2:4" x14ac:dyDescent="0.25">
      <c r="B220" t="s">
        <v>68</v>
      </c>
      <c r="C220">
        <v>2394679.0100000002</v>
      </c>
      <c r="D220">
        <v>2732742.8881414291</v>
      </c>
    </row>
    <row r="221" spans="2:4" x14ac:dyDescent="0.25">
      <c r="B221" t="s">
        <v>101</v>
      </c>
      <c r="C221">
        <v>291359.12</v>
      </c>
      <c r="D221">
        <v>481386.44865800627</v>
      </c>
    </row>
    <row r="222" spans="2:4" x14ac:dyDescent="0.25">
      <c r="B222" t="s">
        <v>648</v>
      </c>
      <c r="C222">
        <v>19299881.109999999</v>
      </c>
      <c r="D222">
        <v>29272565.253408115</v>
      </c>
    </row>
    <row r="223" spans="2:4" x14ac:dyDescent="0.25">
      <c r="B223" t="s">
        <v>76</v>
      </c>
      <c r="C223">
        <v>58415.21</v>
      </c>
      <c r="D223">
        <v>50000.17</v>
      </c>
    </row>
    <row r="224" spans="2:4" x14ac:dyDescent="0.25">
      <c r="B224" t="s">
        <v>75</v>
      </c>
      <c r="C224">
        <v>3609656.79</v>
      </c>
      <c r="D224">
        <v>7673099.79</v>
      </c>
    </row>
    <row r="225" spans="2:4" x14ac:dyDescent="0.25">
      <c r="B225" t="s">
        <v>169</v>
      </c>
      <c r="C225">
        <v>12060626.099999998</v>
      </c>
      <c r="D225">
        <v>15258070.869999999</v>
      </c>
    </row>
    <row r="226" spans="2:4" x14ac:dyDescent="0.25">
      <c r="B226" t="s">
        <v>136</v>
      </c>
      <c r="C226">
        <v>908261.95000000019</v>
      </c>
      <c r="D226">
        <v>938394.75000000023</v>
      </c>
    </row>
    <row r="227" spans="2:4" x14ac:dyDescent="0.25">
      <c r="B227" t="s">
        <v>108</v>
      </c>
      <c r="C227">
        <v>1250917.9199999997</v>
      </c>
      <c r="D227">
        <v>2858690.3499999992</v>
      </c>
    </row>
    <row r="228" spans="2:4" x14ac:dyDescent="0.25">
      <c r="B228" t="s">
        <v>124</v>
      </c>
      <c r="C228">
        <v>4655154.1000000006</v>
      </c>
      <c r="D228">
        <v>6208638.5600000015</v>
      </c>
    </row>
    <row r="229" spans="2:4" x14ac:dyDescent="0.25">
      <c r="B229" t="s">
        <v>142</v>
      </c>
      <c r="C229">
        <v>175056.12999999998</v>
      </c>
      <c r="D229">
        <v>3754126.3</v>
      </c>
    </row>
    <row r="230" spans="2:4" x14ac:dyDescent="0.25">
      <c r="B230" t="s">
        <v>413</v>
      </c>
      <c r="C230">
        <v>16192988.889999997</v>
      </c>
      <c r="D230">
        <v>22735591.999999996</v>
      </c>
    </row>
    <row r="231" spans="2:4" x14ac:dyDescent="0.25">
      <c r="B231" t="s">
        <v>133</v>
      </c>
      <c r="C231">
        <v>8142179.3300000001</v>
      </c>
      <c r="D231">
        <v>11132478.59</v>
      </c>
    </row>
    <row r="232" spans="2:4" x14ac:dyDescent="0.25">
      <c r="B232" t="s">
        <v>62</v>
      </c>
      <c r="C232">
        <v>5074915.32</v>
      </c>
      <c r="D232">
        <v>9790930.290000001</v>
      </c>
    </row>
    <row r="233" spans="2:4" x14ac:dyDescent="0.25">
      <c r="B233" t="s">
        <v>95</v>
      </c>
      <c r="C233">
        <v>2716976.9400000004</v>
      </c>
      <c r="D233">
        <v>4979985.1900000013</v>
      </c>
    </row>
    <row r="234" spans="2:4" x14ac:dyDescent="0.25">
      <c r="B234" t="s">
        <v>158</v>
      </c>
      <c r="C234">
        <v>4022780.65</v>
      </c>
      <c r="D234">
        <v>5312782.0199999996</v>
      </c>
    </row>
    <row r="235" spans="2:4" x14ac:dyDescent="0.25">
      <c r="B235" t="s">
        <v>127</v>
      </c>
      <c r="C235">
        <v>307964.46000000002</v>
      </c>
      <c r="D235">
        <v>488016.51</v>
      </c>
    </row>
    <row r="236" spans="2:4" x14ac:dyDescent="0.25">
      <c r="B236" t="s">
        <v>155</v>
      </c>
      <c r="C236">
        <v>16781459.459999997</v>
      </c>
      <c r="D236">
        <v>26280443.809999999</v>
      </c>
    </row>
    <row r="237" spans="2:4" x14ac:dyDescent="0.25">
      <c r="B237" t="s">
        <v>51</v>
      </c>
      <c r="C237">
        <v>32469677.84</v>
      </c>
      <c r="D237">
        <v>68442698.75</v>
      </c>
    </row>
    <row r="238" spans="2:4" x14ac:dyDescent="0.25">
      <c r="B238" t="s">
        <v>88</v>
      </c>
      <c r="C238">
        <v>5272772.5</v>
      </c>
      <c r="D238">
        <v>9283906.7400000002</v>
      </c>
    </row>
    <row r="239" spans="2:4" x14ac:dyDescent="0.25">
      <c r="B239" t="s">
        <v>45</v>
      </c>
      <c r="C239">
        <v>33828480.369999997</v>
      </c>
      <c r="D239">
        <v>50707778.210000008</v>
      </c>
    </row>
    <row r="240" spans="2:4" x14ac:dyDescent="0.25">
      <c r="B240" t="s">
        <v>82</v>
      </c>
      <c r="C240">
        <v>5763500.0099999998</v>
      </c>
      <c r="D240">
        <v>11535690.529999999</v>
      </c>
    </row>
    <row r="241" spans="2:4" x14ac:dyDescent="0.25">
      <c r="B241" t="s">
        <v>65</v>
      </c>
      <c r="C241">
        <v>5120771.05</v>
      </c>
      <c r="D241">
        <v>8281550.5600000005</v>
      </c>
    </row>
    <row r="242" spans="2:4" x14ac:dyDescent="0.25">
      <c r="B242" t="s">
        <v>98</v>
      </c>
      <c r="C242">
        <v>941533.37</v>
      </c>
      <c r="D242">
        <v>1586479.7799999998</v>
      </c>
    </row>
    <row r="243" spans="2:4" x14ac:dyDescent="0.25">
      <c r="B243" t="s">
        <v>174</v>
      </c>
      <c r="C243" s="483">
        <v>5188945.0699999994</v>
      </c>
      <c r="D243">
        <v>9096146.9645055421</v>
      </c>
    </row>
  </sheetData>
  <autoFilter ref="B2:U129" xr:uid="{240DF736-A1C2-401C-8979-1D8FEEB4603B}">
    <filterColumn colId="2">
      <filters>
        <filter val="Retail - Market Rate (includes Marketplace 2.0 Non-Lighting and Retail Products Platform)"/>
      </filters>
    </filterColumn>
  </autoFilter>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4.9989318521683403E-2"/>
    <pageSetUpPr fitToPage="1"/>
  </sheetPr>
  <dimension ref="A1:N246"/>
  <sheetViews>
    <sheetView topLeftCell="A16" zoomScale="115" zoomScaleNormal="115" workbookViewId="0">
      <selection activeCell="D26" sqref="D26"/>
    </sheetView>
  </sheetViews>
  <sheetFormatPr defaultColWidth="0" defaultRowHeight="16.5" x14ac:dyDescent="0.3"/>
  <cols>
    <col min="1" max="1" width="3.140625" customWidth="1"/>
    <col min="2" max="2" width="62.5703125" style="4" customWidth="1"/>
    <col min="3" max="3" width="21.140625" style="4" customWidth="1"/>
    <col min="4" max="4" width="19.5703125" customWidth="1"/>
    <col min="5" max="5" width="19.140625" customWidth="1"/>
    <col min="6" max="6" width="14.140625" bestFit="1" customWidth="1"/>
    <col min="7" max="7" width="16.85546875" customWidth="1"/>
    <col min="8" max="8" width="9.140625" customWidth="1"/>
    <col min="9" max="9" width="13.5703125" bestFit="1" customWidth="1"/>
    <col min="10" max="13" width="9.140625" customWidth="1"/>
    <col min="14" max="14" width="0" hidden="1" customWidth="1"/>
    <col min="15" max="16384" width="9.140625" hidden="1"/>
  </cols>
  <sheetData>
    <row r="1" spans="1:14" x14ac:dyDescent="0.3">
      <c r="A1" s="66"/>
      <c r="B1" s="73" t="s">
        <v>0</v>
      </c>
      <c r="C1" s="99"/>
      <c r="D1" s="66"/>
      <c r="E1" s="66"/>
      <c r="F1" s="66"/>
      <c r="G1" s="66"/>
      <c r="H1" s="66"/>
      <c r="I1" s="66"/>
      <c r="J1" s="66"/>
      <c r="K1" s="66"/>
      <c r="L1" s="66"/>
      <c r="M1" s="66"/>
    </row>
    <row r="2" spans="1:14" x14ac:dyDescent="0.3">
      <c r="A2" s="66"/>
      <c r="B2" s="73" t="s">
        <v>431</v>
      </c>
      <c r="C2" s="99"/>
      <c r="D2" s="66"/>
      <c r="E2" s="66"/>
      <c r="F2" s="66"/>
      <c r="G2" s="66"/>
      <c r="H2" s="66"/>
      <c r="I2" s="66"/>
      <c r="J2" s="66"/>
      <c r="K2" s="66"/>
      <c r="L2" s="66"/>
      <c r="M2" s="66"/>
    </row>
    <row r="3" spans="1:14" x14ac:dyDescent="0.3">
      <c r="A3" s="66"/>
      <c r="B3" s="73"/>
      <c r="C3" s="99"/>
      <c r="D3" s="66"/>
      <c r="E3" s="66"/>
      <c r="F3" s="66"/>
      <c r="G3" s="66"/>
      <c r="H3" s="66"/>
      <c r="I3" s="66"/>
      <c r="J3" s="66"/>
      <c r="K3" s="66"/>
      <c r="L3" s="66"/>
      <c r="M3" s="66"/>
    </row>
    <row r="4" spans="1:14" x14ac:dyDescent="0.3">
      <c r="A4" s="66"/>
      <c r="B4" s="73"/>
      <c r="C4" s="99"/>
      <c r="D4" s="66"/>
      <c r="E4" s="66"/>
      <c r="F4" s="66"/>
      <c r="G4" s="66"/>
      <c r="H4" s="66"/>
      <c r="I4" s="66"/>
      <c r="J4" s="66"/>
      <c r="K4" s="66"/>
      <c r="L4" s="66"/>
      <c r="M4" s="66"/>
    </row>
    <row r="5" spans="1:14" ht="37.5" customHeight="1" x14ac:dyDescent="0.25">
      <c r="A5" s="66"/>
      <c r="B5" s="518" t="s">
        <v>432</v>
      </c>
      <c r="C5" s="519"/>
      <c r="D5" s="519"/>
      <c r="E5" s="520"/>
      <c r="F5" s="66"/>
      <c r="G5" s="66"/>
      <c r="H5" s="66"/>
      <c r="I5" s="66"/>
      <c r="J5" s="66"/>
      <c r="K5" s="66"/>
      <c r="L5" s="66"/>
      <c r="M5" s="66"/>
    </row>
    <row r="6" spans="1:14" ht="37.5" customHeight="1" x14ac:dyDescent="0.25">
      <c r="A6" s="66"/>
      <c r="B6" s="521"/>
      <c r="C6" s="522"/>
      <c r="D6" s="522"/>
      <c r="E6" s="523"/>
      <c r="F6" s="66"/>
      <c r="G6" s="66"/>
      <c r="H6" s="66"/>
      <c r="I6" s="66"/>
      <c r="J6" s="66"/>
      <c r="K6" s="66"/>
      <c r="L6" s="66"/>
      <c r="M6" s="66"/>
    </row>
    <row r="7" spans="1:14" ht="18.75" customHeight="1" x14ac:dyDescent="0.25">
      <c r="A7" s="66"/>
      <c r="B7" s="524"/>
      <c r="C7" s="525"/>
      <c r="D7" s="525"/>
      <c r="E7" s="526"/>
      <c r="F7" s="66"/>
      <c r="G7" s="66"/>
      <c r="H7" s="66"/>
      <c r="I7" s="66"/>
      <c r="J7" s="66"/>
      <c r="K7" s="66"/>
      <c r="L7" s="66"/>
      <c r="M7" s="66"/>
    </row>
    <row r="8" spans="1:14" x14ac:dyDescent="0.3">
      <c r="A8" s="66"/>
      <c r="B8" s="99"/>
      <c r="C8" s="99"/>
      <c r="D8" s="66"/>
      <c r="E8" s="66"/>
      <c r="F8" s="66"/>
      <c r="G8" s="66"/>
      <c r="H8" s="66"/>
      <c r="I8" s="66"/>
      <c r="J8" s="66"/>
      <c r="K8" s="66"/>
      <c r="L8" s="66"/>
      <c r="M8" s="66"/>
    </row>
    <row r="9" spans="1:14" x14ac:dyDescent="0.3">
      <c r="A9" s="66"/>
      <c r="B9" s="73" t="s">
        <v>433</v>
      </c>
      <c r="C9" s="99"/>
      <c r="D9" s="66"/>
      <c r="E9" s="66"/>
      <c r="F9" s="66"/>
      <c r="G9" s="66"/>
      <c r="H9" s="66"/>
      <c r="I9" s="66"/>
      <c r="J9" s="66"/>
      <c r="K9" s="66"/>
      <c r="L9" s="66"/>
      <c r="M9" s="66"/>
    </row>
    <row r="10" spans="1:14" ht="20.100000000000001" customHeight="1" x14ac:dyDescent="0.3">
      <c r="A10" s="66"/>
      <c r="B10" s="232" t="str">
        <f>'1- Ex Ante Results'!C19</f>
        <v>CY2024 Q3</v>
      </c>
      <c r="C10" s="99"/>
      <c r="D10" s="66"/>
      <c r="E10" s="66"/>
      <c r="F10" s="66"/>
      <c r="G10" s="66"/>
      <c r="H10" s="66"/>
      <c r="I10" s="66"/>
      <c r="J10" s="66"/>
      <c r="K10" s="66"/>
      <c r="L10" s="66"/>
      <c r="M10" s="66"/>
    </row>
    <row r="11" spans="1:14" ht="32.85" customHeight="1" x14ac:dyDescent="0.25">
      <c r="A11" s="66"/>
      <c r="B11" s="24" t="s">
        <v>434</v>
      </c>
      <c r="C11" s="25" t="s">
        <v>435</v>
      </c>
      <c r="D11" s="124"/>
      <c r="E11" s="124"/>
      <c r="F11" s="66"/>
      <c r="G11" s="116"/>
      <c r="H11" s="66"/>
      <c r="I11" s="66"/>
      <c r="J11" s="66"/>
      <c r="K11" s="66"/>
      <c r="L11" s="66"/>
      <c r="M11" s="66"/>
    </row>
    <row r="12" spans="1:14" s="12" customFormat="1" ht="21" customHeight="1" x14ac:dyDescent="0.25">
      <c r="A12" s="71"/>
      <c r="B12" s="514" t="s">
        <v>436</v>
      </c>
      <c r="C12" s="515"/>
      <c r="D12" s="71"/>
      <c r="E12" s="71"/>
      <c r="F12" s="71"/>
      <c r="G12" s="71"/>
      <c r="H12" s="71"/>
      <c r="I12" s="71"/>
      <c r="J12" s="71"/>
      <c r="K12" s="71"/>
      <c r="L12" s="71"/>
      <c r="M12" s="71"/>
      <c r="N12" s="71"/>
    </row>
    <row r="13" spans="1:14" ht="15" x14ac:dyDescent="0.25">
      <c r="A13" s="66"/>
      <c r="B13" s="6" t="s">
        <v>437</v>
      </c>
      <c r="C13" s="234">
        <f>'1- Ex Ante Results'!I55</f>
        <v>107237283.02</v>
      </c>
      <c r="D13" s="66"/>
      <c r="E13" s="66"/>
      <c r="F13" s="66"/>
      <c r="G13" s="116"/>
      <c r="H13" s="66"/>
      <c r="I13" s="66"/>
      <c r="J13" s="66"/>
      <c r="K13" s="66"/>
      <c r="L13" s="66"/>
      <c r="M13" s="66"/>
      <c r="N13" s="66"/>
    </row>
    <row r="14" spans="1:14" ht="15" x14ac:dyDescent="0.25">
      <c r="A14" s="66"/>
      <c r="B14" s="58" t="s">
        <v>438</v>
      </c>
      <c r="C14" s="235">
        <f>'1- Ex Ante Results'!I69</f>
        <v>19297465.940000001</v>
      </c>
      <c r="D14" s="66"/>
      <c r="E14" s="66"/>
      <c r="F14" s="66"/>
      <c r="G14" s="116"/>
      <c r="H14" s="66"/>
      <c r="I14" s="66"/>
      <c r="J14" s="66"/>
      <c r="K14" s="66"/>
      <c r="L14" s="66"/>
      <c r="M14" s="66"/>
      <c r="N14" s="66"/>
    </row>
    <row r="15" spans="1:14" ht="15" x14ac:dyDescent="0.25">
      <c r="A15" s="66"/>
      <c r="B15" s="6" t="s">
        <v>439</v>
      </c>
      <c r="C15" s="236">
        <f>'1- Ex Ante Results'!I94</f>
        <v>25954609.689999998</v>
      </c>
      <c r="D15" s="66"/>
      <c r="E15" s="66"/>
      <c r="F15" s="66"/>
      <c r="G15" s="116"/>
      <c r="H15" s="66"/>
      <c r="I15" s="66"/>
      <c r="J15" s="66"/>
      <c r="K15" s="66"/>
      <c r="L15" s="66"/>
      <c r="M15" s="66"/>
      <c r="N15" s="66"/>
    </row>
    <row r="16" spans="1:14" ht="15" x14ac:dyDescent="0.25">
      <c r="A16" s="66"/>
      <c r="B16" s="6" t="s">
        <v>152</v>
      </c>
      <c r="C16" s="237">
        <f>'1- Ex Ante Results'!I106</f>
        <v>80381635.462228969</v>
      </c>
      <c r="D16" s="66"/>
      <c r="E16" s="66"/>
      <c r="F16" s="66"/>
      <c r="G16" s="66"/>
      <c r="H16" s="66"/>
      <c r="I16" s="66"/>
      <c r="J16" s="66"/>
      <c r="K16" s="66"/>
      <c r="L16" s="66"/>
      <c r="M16" s="66"/>
      <c r="N16" s="66"/>
    </row>
    <row r="17" spans="1:14" ht="15" x14ac:dyDescent="0.25">
      <c r="A17" s="66"/>
      <c r="B17" s="6" t="s">
        <v>440</v>
      </c>
      <c r="C17" s="237"/>
      <c r="D17" s="66"/>
      <c r="E17" s="66"/>
      <c r="F17" s="66"/>
      <c r="G17" s="66"/>
      <c r="H17" s="66"/>
      <c r="I17" s="66"/>
      <c r="J17" s="66"/>
      <c r="K17" s="66"/>
      <c r="L17" s="66"/>
      <c r="M17" s="66"/>
      <c r="N17" s="66"/>
    </row>
    <row r="18" spans="1:14" ht="15" hidden="1" x14ac:dyDescent="0.25">
      <c r="A18" s="66"/>
      <c r="B18" s="6" t="s">
        <v>441</v>
      </c>
      <c r="C18" s="26"/>
      <c r="D18" s="66"/>
      <c r="E18" s="113">
        <v>0</v>
      </c>
      <c r="F18" s="66"/>
      <c r="G18" s="66"/>
      <c r="H18" s="66"/>
      <c r="I18" s="66"/>
      <c r="J18" s="66"/>
      <c r="K18" s="66"/>
      <c r="L18" s="66"/>
      <c r="M18" s="66"/>
      <c r="N18" s="66"/>
    </row>
    <row r="19" spans="1:14" s="12" customFormat="1" ht="21" customHeight="1" x14ac:dyDescent="0.25">
      <c r="A19" s="71"/>
      <c r="B19" s="37" t="s">
        <v>442</v>
      </c>
      <c r="C19" s="38">
        <f>SUM(C13:C16)</f>
        <v>232870994.11222893</v>
      </c>
      <c r="D19" s="117"/>
      <c r="E19" s="71"/>
      <c r="F19" s="115"/>
      <c r="G19" s="71"/>
      <c r="H19" s="71"/>
      <c r="I19" s="71"/>
      <c r="J19" s="71"/>
      <c r="K19" s="71"/>
      <c r="L19" s="71"/>
      <c r="M19" s="71"/>
      <c r="N19" s="71"/>
    </row>
    <row r="20" spans="1:14" s="12" customFormat="1" ht="21" customHeight="1" x14ac:dyDescent="0.25">
      <c r="A20" s="71"/>
      <c r="B20" s="516" t="s">
        <v>443</v>
      </c>
      <c r="C20" s="517"/>
      <c r="D20" s="118"/>
      <c r="E20" s="119"/>
      <c r="F20" s="71"/>
      <c r="G20" s="71"/>
      <c r="H20" s="71"/>
      <c r="I20" s="71"/>
      <c r="J20" s="71"/>
      <c r="K20" s="71"/>
      <c r="L20" s="71"/>
      <c r="M20" s="71"/>
      <c r="N20" s="71"/>
    </row>
    <row r="21" spans="1:14" ht="29.85" customHeight="1" x14ac:dyDescent="0.25">
      <c r="A21" s="66"/>
      <c r="B21" s="27" t="s">
        <v>444</v>
      </c>
      <c r="C21" s="238">
        <f>'1- Ex Ante Results'!I111</f>
        <v>4343042.6000000006</v>
      </c>
      <c r="D21" s="497">
        <f>VLOOKUP(D22,'9+3 Spend LE'!E:H,4,FALSE)</f>
        <v>23583.699999999997</v>
      </c>
      <c r="E21" s="497">
        <f>VLOOKUP(E22,'9+3 Spend LE'!E:H,4,FALSE)</f>
        <v>125417.80000000002</v>
      </c>
      <c r="F21" s="497">
        <f>VLOOKUP(F22,'9+3 Spend LE'!E:H,4,FALSE)</f>
        <v>500000</v>
      </c>
      <c r="G21" s="497">
        <f>VLOOKUP(G22,'9+3 Spend LE'!E:H,4,FALSE)</f>
        <v>2417668.14</v>
      </c>
      <c r="H21" s="66"/>
      <c r="I21" s="66"/>
      <c r="J21" s="66"/>
      <c r="K21" s="66"/>
      <c r="L21" s="66"/>
      <c r="M21" s="66"/>
      <c r="N21" s="66"/>
    </row>
    <row r="22" spans="1:14" ht="51" x14ac:dyDescent="0.25">
      <c r="A22" s="66"/>
      <c r="B22" s="6" t="s">
        <v>391</v>
      </c>
      <c r="C22" s="238">
        <v>6659423.0999999996</v>
      </c>
      <c r="D22" s="498" t="s">
        <v>310</v>
      </c>
      <c r="E22" s="498" t="s">
        <v>312</v>
      </c>
      <c r="F22" s="498" t="s">
        <v>277</v>
      </c>
      <c r="G22" s="498" t="s">
        <v>257</v>
      </c>
      <c r="H22" s="66"/>
      <c r="I22" s="66"/>
      <c r="J22" s="66"/>
      <c r="K22" s="66"/>
      <c r="L22" s="66"/>
      <c r="M22" s="66"/>
      <c r="N22" s="66"/>
    </row>
    <row r="23" spans="1:14" ht="15" x14ac:dyDescent="0.25">
      <c r="A23" s="66"/>
      <c r="B23" s="28" t="s">
        <v>445</v>
      </c>
      <c r="C23" s="238">
        <f>SUM(D21:G21)</f>
        <v>3066669.64</v>
      </c>
      <c r="D23" s="120"/>
      <c r="E23" s="121"/>
      <c r="F23" s="66"/>
      <c r="G23" s="122"/>
      <c r="H23" s="66"/>
      <c r="I23" s="66"/>
      <c r="J23" s="66"/>
      <c r="K23" s="66"/>
      <c r="L23" s="66"/>
      <c r="M23" s="66"/>
      <c r="N23" s="66"/>
    </row>
    <row r="24" spans="1:14" ht="15" x14ac:dyDescent="0.25">
      <c r="A24" s="66"/>
      <c r="B24" s="6" t="s">
        <v>446</v>
      </c>
      <c r="C24" s="238">
        <v>19299881.110000044</v>
      </c>
      <c r="D24" s="120"/>
      <c r="F24" s="66"/>
      <c r="G24" s="122"/>
      <c r="H24" s="66"/>
      <c r="I24" s="113"/>
      <c r="J24" s="66"/>
      <c r="K24" s="66"/>
      <c r="L24" s="66"/>
      <c r="M24" s="66"/>
      <c r="N24" s="66"/>
    </row>
    <row r="25" spans="1:14" ht="15" x14ac:dyDescent="0.25">
      <c r="A25" s="66"/>
      <c r="B25" s="6" t="s">
        <v>447</v>
      </c>
      <c r="C25" s="237">
        <v>0</v>
      </c>
      <c r="D25" s="120"/>
      <c r="E25" s="120"/>
      <c r="F25" s="113"/>
      <c r="G25" s="122"/>
      <c r="H25" s="66"/>
      <c r="I25" s="66"/>
      <c r="J25" s="66"/>
      <c r="K25" s="66"/>
      <c r="L25" s="66"/>
      <c r="M25" s="66"/>
      <c r="N25" s="66"/>
    </row>
    <row r="26" spans="1:14" s="12" customFormat="1" ht="21" customHeight="1" x14ac:dyDescent="0.25">
      <c r="A26" s="71"/>
      <c r="B26" s="37" t="s">
        <v>448</v>
      </c>
      <c r="C26" s="48">
        <f>SUM(C21:C25)</f>
        <v>33369016.450000044</v>
      </c>
      <c r="D26" s="120"/>
      <c r="E26" s="121"/>
      <c r="F26" s="115"/>
      <c r="G26" s="115"/>
      <c r="H26" s="71"/>
      <c r="I26" s="115"/>
      <c r="J26" s="71"/>
      <c r="K26" s="71"/>
      <c r="L26" s="71"/>
      <c r="M26" s="71"/>
      <c r="N26" s="71"/>
    </row>
    <row r="27" spans="1:14" s="12" customFormat="1" ht="32.85" customHeight="1" x14ac:dyDescent="0.25">
      <c r="A27" s="71"/>
      <c r="B27" s="40" t="s">
        <v>449</v>
      </c>
      <c r="C27" s="49">
        <f>C19+C26</f>
        <v>266240010.56222898</v>
      </c>
      <c r="D27" s="182"/>
      <c r="E27" s="121"/>
      <c r="F27" s="115"/>
      <c r="G27" s="123"/>
      <c r="H27" s="71"/>
      <c r="I27" s="115"/>
      <c r="J27" s="71"/>
      <c r="K27" s="71"/>
      <c r="L27" s="71"/>
      <c r="M27" s="71"/>
      <c r="N27" s="71"/>
    </row>
    <row r="28" spans="1:14" ht="15" x14ac:dyDescent="0.25">
      <c r="A28" s="66"/>
      <c r="B28" s="102"/>
      <c r="C28" s="102"/>
      <c r="D28" s="66"/>
      <c r="E28" s="121"/>
      <c r="F28" s="113"/>
      <c r="G28" s="66"/>
      <c r="H28" s="66"/>
      <c r="I28" s="66"/>
      <c r="J28" s="66"/>
      <c r="K28" s="66"/>
      <c r="L28" s="66"/>
      <c r="M28" s="66"/>
      <c r="N28" s="66"/>
    </row>
    <row r="29" spans="1:14" s="12" customFormat="1" ht="17.850000000000001" customHeight="1" x14ac:dyDescent="0.25">
      <c r="A29" s="71"/>
      <c r="B29" s="114"/>
      <c r="C29" s="114"/>
      <c r="D29" s="115"/>
      <c r="E29" s="115"/>
      <c r="F29" s="71"/>
      <c r="G29" s="71"/>
      <c r="H29" s="71"/>
      <c r="I29" s="71"/>
      <c r="J29" s="71"/>
      <c r="K29" s="71"/>
      <c r="L29" s="71"/>
      <c r="M29" s="71"/>
      <c r="N29" s="71"/>
    </row>
    <row r="30" spans="1:14" s="12" customFormat="1" ht="20.25" customHeight="1" x14ac:dyDescent="0.25">
      <c r="A30" s="71"/>
      <c r="B30" s="72" t="e">
        <f>"ComEd Section 8-103B/8-104 (EEPS) Costs as of "&amp;#REF!</f>
        <v>#REF!</v>
      </c>
      <c r="C30" s="114"/>
      <c r="D30" s="71"/>
      <c r="E30" s="71"/>
      <c r="F30" s="71"/>
      <c r="G30" s="71"/>
      <c r="H30" s="71"/>
      <c r="I30" s="71"/>
      <c r="J30" s="71"/>
      <c r="K30" s="71"/>
      <c r="L30" s="71"/>
      <c r="M30" s="71"/>
      <c r="N30" s="71"/>
    </row>
    <row r="31" spans="1:14" ht="36" customHeight="1" x14ac:dyDescent="0.25">
      <c r="A31" s="66"/>
      <c r="B31" s="25" t="s">
        <v>450</v>
      </c>
      <c r="C31" s="25" t="s">
        <v>451</v>
      </c>
      <c r="D31" s="25" t="s">
        <v>452</v>
      </c>
      <c r="E31" s="19" t="s">
        <v>22</v>
      </c>
      <c r="F31" s="66"/>
      <c r="G31" s="66"/>
      <c r="H31" s="66"/>
      <c r="I31" s="66"/>
      <c r="J31" s="66"/>
      <c r="K31" s="66"/>
      <c r="L31" s="66"/>
      <c r="M31" s="66"/>
      <c r="N31" s="66"/>
    </row>
    <row r="32" spans="1:14" s="12" customFormat="1" ht="35.85" customHeight="1" x14ac:dyDescent="0.25">
      <c r="A32" s="71"/>
      <c r="B32" s="39" t="s">
        <v>449</v>
      </c>
      <c r="C32" s="50">
        <f>C27</f>
        <v>266240010.56222898</v>
      </c>
      <c r="D32" s="50">
        <v>437772939</v>
      </c>
      <c r="E32" s="227">
        <f>C32/D32</f>
        <v>0.60816918279690413</v>
      </c>
      <c r="F32" s="71"/>
      <c r="G32" s="71"/>
      <c r="H32" s="71"/>
      <c r="I32" s="71"/>
      <c r="J32" s="71"/>
      <c r="K32" s="71"/>
      <c r="L32" s="71"/>
      <c r="M32" s="71"/>
      <c r="N32" s="71"/>
    </row>
    <row r="33" spans="1:14" x14ac:dyDescent="0.3">
      <c r="A33" s="66"/>
      <c r="B33" s="99"/>
      <c r="C33" s="99"/>
      <c r="D33" s="66"/>
      <c r="E33" s="66"/>
      <c r="F33" s="66"/>
      <c r="G33" s="66"/>
      <c r="H33" s="66"/>
      <c r="I33" s="66"/>
      <c r="J33" s="66"/>
      <c r="K33" s="66"/>
      <c r="L33" s="66"/>
      <c r="M33" s="66"/>
      <c r="N33" s="66"/>
    </row>
    <row r="34" spans="1:14" x14ac:dyDescent="0.3">
      <c r="A34" s="66"/>
      <c r="B34" s="99"/>
      <c r="C34" s="125"/>
      <c r="D34" s="125"/>
      <c r="E34" s="66"/>
      <c r="F34" s="66"/>
      <c r="G34" s="66"/>
      <c r="H34" s="66"/>
      <c r="I34" s="66"/>
      <c r="J34" s="66"/>
      <c r="K34" s="66"/>
      <c r="L34" s="66"/>
      <c r="M34" s="66"/>
      <c r="N34" s="66"/>
    </row>
    <row r="35" spans="1:14" x14ac:dyDescent="0.3">
      <c r="A35" s="66"/>
      <c r="B35" s="99"/>
      <c r="C35" s="99"/>
      <c r="D35" s="66"/>
      <c r="E35" s="66"/>
      <c r="F35" s="66"/>
      <c r="G35" s="66"/>
      <c r="H35" s="66"/>
      <c r="I35" s="66"/>
      <c r="J35" s="66"/>
      <c r="K35" s="66"/>
      <c r="L35" s="66"/>
      <c r="M35" s="66"/>
      <c r="N35" s="66"/>
    </row>
    <row r="36" spans="1:14" x14ac:dyDescent="0.3">
      <c r="A36" s="66"/>
      <c r="B36" s="99"/>
      <c r="C36" s="99"/>
      <c r="D36" s="66"/>
      <c r="E36" s="66"/>
      <c r="F36" s="66"/>
      <c r="G36" s="66"/>
      <c r="H36" s="66"/>
      <c r="I36" s="66"/>
      <c r="J36" s="66"/>
      <c r="K36" s="66"/>
      <c r="L36" s="66"/>
      <c r="M36" s="66"/>
      <c r="N36" s="66"/>
    </row>
    <row r="37" spans="1:14" x14ac:dyDescent="0.3">
      <c r="A37" s="66"/>
      <c r="B37" s="99"/>
      <c r="C37" s="99"/>
      <c r="D37" s="66"/>
      <c r="E37" s="66"/>
      <c r="F37" s="66"/>
      <c r="G37" s="66"/>
      <c r="H37" s="66"/>
      <c r="I37" s="66"/>
      <c r="J37" s="66"/>
      <c r="K37" s="66"/>
      <c r="L37" s="66"/>
      <c r="M37" s="66"/>
      <c r="N37" s="66"/>
    </row>
    <row r="38" spans="1:14" x14ac:dyDescent="0.3">
      <c r="A38" s="66"/>
      <c r="B38" s="99"/>
      <c r="C38" s="99"/>
      <c r="D38" s="66"/>
      <c r="E38" s="66"/>
      <c r="F38" s="66"/>
      <c r="G38" s="66"/>
      <c r="H38" s="66"/>
      <c r="I38" s="66"/>
      <c r="J38" s="66"/>
      <c r="K38" s="66"/>
      <c r="L38" s="66"/>
      <c r="M38" s="66"/>
      <c r="N38" s="66"/>
    </row>
    <row r="39" spans="1:14" x14ac:dyDescent="0.3">
      <c r="A39" s="66"/>
      <c r="B39" s="99"/>
      <c r="C39" s="99"/>
      <c r="D39" s="66"/>
      <c r="E39" s="66"/>
      <c r="F39" s="66"/>
      <c r="G39" s="66"/>
      <c r="H39" s="66"/>
      <c r="I39" s="66"/>
      <c r="J39" s="66"/>
      <c r="K39" s="66"/>
      <c r="L39" s="66"/>
      <c r="M39" s="66"/>
      <c r="N39" s="66"/>
    </row>
    <row r="40" spans="1:14" x14ac:dyDescent="0.3">
      <c r="A40" s="66"/>
      <c r="B40" s="99"/>
      <c r="C40" s="99"/>
      <c r="D40" s="66"/>
      <c r="E40" s="66"/>
      <c r="F40" s="66"/>
      <c r="G40" s="66"/>
      <c r="H40" s="66"/>
      <c r="I40" s="66"/>
      <c r="J40" s="66"/>
      <c r="K40" s="66"/>
      <c r="L40" s="66"/>
      <c r="M40" s="66"/>
      <c r="N40" s="66"/>
    </row>
    <row r="41" spans="1:14" x14ac:dyDescent="0.3">
      <c r="A41" s="66"/>
      <c r="B41" s="99"/>
      <c r="C41" s="99"/>
      <c r="D41" s="66"/>
      <c r="E41" s="66"/>
      <c r="F41" s="66"/>
      <c r="G41" s="66"/>
      <c r="H41" s="66"/>
      <c r="I41" s="66"/>
      <c r="J41" s="66"/>
      <c r="K41" s="66"/>
      <c r="L41" s="66"/>
      <c r="M41" s="66"/>
      <c r="N41" s="66"/>
    </row>
    <row r="42" spans="1:14" x14ac:dyDescent="0.3">
      <c r="A42" s="66"/>
      <c r="B42" s="99"/>
      <c r="C42" s="99"/>
      <c r="D42" s="66"/>
      <c r="E42" s="66"/>
      <c r="F42" s="66"/>
      <c r="G42" s="66"/>
      <c r="H42" s="66"/>
      <c r="I42" s="66"/>
      <c r="J42" s="66"/>
      <c r="K42" s="66"/>
      <c r="L42" s="66"/>
      <c r="M42" s="66"/>
      <c r="N42" s="66"/>
    </row>
    <row r="43" spans="1:14" x14ac:dyDescent="0.3">
      <c r="A43" s="66"/>
      <c r="B43" s="99"/>
      <c r="C43" s="99"/>
      <c r="D43" s="66"/>
      <c r="E43" s="66"/>
      <c r="F43" s="66"/>
      <c r="G43" s="66"/>
      <c r="H43" s="66"/>
      <c r="I43" s="66"/>
      <c r="J43" s="66"/>
      <c r="K43" s="66"/>
      <c r="L43" s="66"/>
      <c r="M43" s="66"/>
      <c r="N43" s="66"/>
    </row>
    <row r="44" spans="1:14" x14ac:dyDescent="0.3">
      <c r="A44" s="66"/>
      <c r="B44" s="99"/>
      <c r="C44" s="99"/>
      <c r="D44" s="66"/>
      <c r="E44" s="66"/>
      <c r="F44" s="66"/>
      <c r="G44" s="66"/>
      <c r="H44" s="66"/>
      <c r="I44" s="66"/>
      <c r="J44" s="66"/>
      <c r="K44" s="66"/>
      <c r="L44" s="66"/>
      <c r="M44" s="66"/>
      <c r="N44" s="66"/>
    </row>
    <row r="45" spans="1:14" x14ac:dyDescent="0.3">
      <c r="A45" s="66"/>
      <c r="B45" s="99"/>
      <c r="C45" s="99"/>
      <c r="D45" s="66"/>
      <c r="E45" s="66"/>
      <c r="F45" s="66"/>
      <c r="G45" s="66"/>
      <c r="H45" s="66"/>
      <c r="I45" s="66"/>
      <c r="J45" s="66"/>
      <c r="K45" s="66"/>
      <c r="L45" s="66"/>
      <c r="M45" s="66"/>
      <c r="N45" s="66"/>
    </row>
    <row r="46" spans="1:14" x14ac:dyDescent="0.3">
      <c r="A46" s="66"/>
      <c r="B46" s="99"/>
      <c r="C46" s="99"/>
      <c r="D46" s="66"/>
      <c r="E46" s="66"/>
      <c r="F46" s="66"/>
      <c r="G46" s="66"/>
      <c r="H46" s="66"/>
      <c r="I46" s="66"/>
      <c r="J46" s="66"/>
      <c r="K46" s="66"/>
      <c r="L46" s="66"/>
      <c r="M46" s="66"/>
      <c r="N46" s="66"/>
    </row>
    <row r="47" spans="1:14" x14ac:dyDescent="0.3">
      <c r="A47" s="66"/>
      <c r="B47" s="99"/>
      <c r="C47" s="99"/>
      <c r="D47" s="66"/>
      <c r="E47" s="66"/>
      <c r="F47" s="66"/>
      <c r="G47" s="66"/>
      <c r="H47" s="66"/>
      <c r="I47" s="66"/>
      <c r="J47" s="66"/>
      <c r="K47" s="66"/>
      <c r="L47" s="66"/>
      <c r="M47" s="66"/>
      <c r="N47" s="66"/>
    </row>
    <row r="48" spans="1:14" x14ac:dyDescent="0.3">
      <c r="A48" s="66"/>
      <c r="B48" s="99"/>
      <c r="C48" s="99"/>
      <c r="D48" s="66"/>
      <c r="E48" s="66"/>
      <c r="F48" s="66"/>
      <c r="G48" s="66"/>
      <c r="H48" s="66"/>
      <c r="I48" s="66"/>
      <c r="J48" s="66"/>
      <c r="K48" s="66"/>
      <c r="L48" s="66"/>
      <c r="M48" s="66"/>
      <c r="N48" s="66"/>
    </row>
    <row r="49" spans="1:14" x14ac:dyDescent="0.3">
      <c r="A49" s="66"/>
      <c r="B49" s="99"/>
      <c r="C49" s="99"/>
      <c r="D49" s="66"/>
      <c r="E49" s="66"/>
      <c r="F49" s="66"/>
      <c r="G49" s="66"/>
      <c r="H49" s="66"/>
      <c r="I49" s="66"/>
      <c r="J49" s="66"/>
      <c r="K49" s="66"/>
      <c r="L49" s="66"/>
      <c r="M49" s="66"/>
      <c r="N49" s="66"/>
    </row>
    <row r="50" spans="1:14" x14ac:dyDescent="0.3">
      <c r="A50" s="66"/>
      <c r="B50" s="99"/>
      <c r="C50" s="99"/>
      <c r="D50" s="66"/>
      <c r="E50" s="66"/>
      <c r="F50" s="66"/>
      <c r="G50" s="66"/>
      <c r="H50" s="66"/>
      <c r="I50" s="66"/>
      <c r="J50" s="66"/>
      <c r="K50" s="66"/>
      <c r="L50" s="66"/>
      <c r="M50" s="66"/>
      <c r="N50" s="66"/>
    </row>
    <row r="51" spans="1:14" x14ac:dyDescent="0.3">
      <c r="A51" s="66"/>
      <c r="B51" s="99"/>
      <c r="C51" s="99"/>
      <c r="D51" s="66"/>
      <c r="E51" s="66"/>
      <c r="F51" s="66"/>
      <c r="G51" s="66"/>
      <c r="H51" s="66"/>
      <c r="I51" s="66"/>
      <c r="J51" s="66"/>
      <c r="K51" s="66"/>
      <c r="L51" s="66"/>
      <c r="M51" s="66"/>
      <c r="N51" s="66"/>
    </row>
    <row r="52" spans="1:14" x14ac:dyDescent="0.3">
      <c r="A52" s="66"/>
      <c r="B52" s="99"/>
      <c r="C52" s="99"/>
      <c r="D52" s="66"/>
      <c r="E52" s="66"/>
      <c r="F52" s="66"/>
      <c r="G52" s="66"/>
      <c r="H52" s="66"/>
      <c r="I52" s="66"/>
      <c r="J52" s="66"/>
      <c r="K52" s="66"/>
      <c r="L52" s="66"/>
      <c r="M52" s="66"/>
      <c r="N52" s="66"/>
    </row>
    <row r="53" spans="1:14" x14ac:dyDescent="0.3">
      <c r="A53" s="66"/>
      <c r="B53" s="99"/>
      <c r="C53" s="99"/>
      <c r="D53" s="66"/>
      <c r="E53" s="66"/>
      <c r="F53" s="66"/>
      <c r="G53" s="66"/>
      <c r="H53" s="66"/>
      <c r="I53" s="66"/>
      <c r="J53" s="66"/>
      <c r="K53" s="66"/>
      <c r="L53" s="66"/>
      <c r="M53" s="66"/>
      <c r="N53" s="66"/>
    </row>
    <row r="54" spans="1:14" x14ac:dyDescent="0.3">
      <c r="A54" s="66"/>
      <c r="B54" s="99"/>
      <c r="C54" s="99"/>
      <c r="D54" s="66"/>
      <c r="E54" s="66"/>
      <c r="F54" s="66"/>
      <c r="G54" s="66"/>
      <c r="H54" s="66"/>
      <c r="I54" s="66"/>
      <c r="J54" s="66"/>
      <c r="K54" s="66"/>
      <c r="L54" s="66"/>
      <c r="M54" s="66"/>
      <c r="N54" s="66"/>
    </row>
    <row r="55" spans="1:14" x14ac:dyDescent="0.3">
      <c r="A55" s="66"/>
      <c r="B55" s="99"/>
      <c r="C55" s="99"/>
      <c r="D55" s="66"/>
      <c r="E55" s="66"/>
      <c r="F55" s="66"/>
      <c r="G55" s="66"/>
      <c r="H55" s="66"/>
      <c r="I55" s="66"/>
      <c r="J55" s="66"/>
      <c r="K55" s="66"/>
      <c r="L55" s="66"/>
      <c r="M55" s="66"/>
      <c r="N55" s="66"/>
    </row>
    <row r="56" spans="1:14" x14ac:dyDescent="0.3">
      <c r="A56" s="66"/>
      <c r="B56" s="99"/>
      <c r="C56" s="99"/>
      <c r="D56" s="66"/>
      <c r="E56" s="66"/>
      <c r="F56" s="66"/>
      <c r="G56" s="66"/>
      <c r="H56" s="66"/>
      <c r="I56" s="66"/>
      <c r="J56" s="66"/>
      <c r="K56" s="66"/>
      <c r="L56" s="66"/>
      <c r="M56" s="66"/>
      <c r="N56" s="66"/>
    </row>
    <row r="57" spans="1:14" x14ac:dyDescent="0.3">
      <c r="A57" s="66"/>
      <c r="B57" s="99"/>
      <c r="C57" s="99"/>
      <c r="D57" s="66"/>
      <c r="E57" s="66"/>
      <c r="F57" s="66"/>
      <c r="G57" s="66"/>
      <c r="H57" s="66"/>
      <c r="I57" s="66"/>
      <c r="J57" s="66"/>
      <c r="K57" s="66"/>
      <c r="L57" s="66"/>
      <c r="M57" s="66"/>
      <c r="N57" s="66"/>
    </row>
    <row r="58" spans="1:14" x14ac:dyDescent="0.3">
      <c r="A58" s="66"/>
      <c r="B58" s="99"/>
      <c r="C58" s="99"/>
      <c r="D58" s="66"/>
      <c r="E58" s="66"/>
      <c r="F58" s="66"/>
      <c r="G58" s="66"/>
      <c r="H58" s="66"/>
      <c r="I58" s="66"/>
      <c r="J58" s="66"/>
      <c r="K58" s="66"/>
      <c r="L58" s="66"/>
      <c r="M58" s="66"/>
      <c r="N58" s="66"/>
    </row>
    <row r="59" spans="1:14" x14ac:dyDescent="0.3">
      <c r="A59" s="66"/>
      <c r="B59" s="99"/>
      <c r="C59" s="99"/>
      <c r="D59" s="66"/>
      <c r="E59" s="66"/>
      <c r="F59" s="66"/>
      <c r="G59" s="66"/>
      <c r="H59" s="66"/>
      <c r="I59" s="66"/>
      <c r="J59" s="66"/>
      <c r="K59" s="66"/>
      <c r="L59" s="66"/>
      <c r="M59" s="66"/>
      <c r="N59" s="66"/>
    </row>
    <row r="60" spans="1:14" x14ac:dyDescent="0.3">
      <c r="A60" s="66"/>
      <c r="B60" s="99"/>
      <c r="C60" s="99"/>
      <c r="D60" s="66"/>
      <c r="E60" s="66"/>
      <c r="F60" s="66"/>
      <c r="G60" s="66"/>
      <c r="H60" s="66"/>
      <c r="I60" s="66"/>
      <c r="J60" s="66"/>
      <c r="K60" s="66"/>
      <c r="L60" s="66"/>
      <c r="M60" s="66"/>
      <c r="N60" s="66"/>
    </row>
    <row r="61" spans="1:14" x14ac:dyDescent="0.3">
      <c r="A61" s="66"/>
      <c r="B61" s="99"/>
      <c r="C61" s="99"/>
      <c r="D61" s="66"/>
      <c r="E61" s="66"/>
      <c r="F61" s="66"/>
      <c r="G61" s="66"/>
      <c r="H61" s="66"/>
      <c r="I61" s="66"/>
      <c r="J61" s="66"/>
      <c r="K61" s="66"/>
      <c r="L61" s="66"/>
      <c r="M61" s="66"/>
      <c r="N61" s="66"/>
    </row>
    <row r="62" spans="1:14" x14ac:dyDescent="0.3">
      <c r="A62" s="66"/>
    </row>
    <row r="63" spans="1:14" x14ac:dyDescent="0.3">
      <c r="A63" s="66"/>
    </row>
    <row r="64" spans="1:14" x14ac:dyDescent="0.3">
      <c r="A64" s="66"/>
    </row>
    <row r="65" spans="1:1" x14ac:dyDescent="0.3">
      <c r="A65" s="66"/>
    </row>
    <row r="66" spans="1:1" x14ac:dyDescent="0.3">
      <c r="A66" s="66"/>
    </row>
    <row r="67" spans="1:1" x14ac:dyDescent="0.3">
      <c r="A67" s="66"/>
    </row>
    <row r="68" spans="1:1" x14ac:dyDescent="0.3">
      <c r="A68" s="66"/>
    </row>
    <row r="69" spans="1:1" x14ac:dyDescent="0.3">
      <c r="A69" s="66"/>
    </row>
    <row r="70" spans="1:1" x14ac:dyDescent="0.3">
      <c r="A70" s="66"/>
    </row>
    <row r="71" spans="1:1" x14ac:dyDescent="0.3">
      <c r="A71" s="66"/>
    </row>
    <row r="72" spans="1:1" x14ac:dyDescent="0.3">
      <c r="A72" s="66"/>
    </row>
    <row r="73" spans="1:1" x14ac:dyDescent="0.3">
      <c r="A73" s="66"/>
    </row>
    <row r="74" spans="1:1" x14ac:dyDescent="0.3">
      <c r="A74" s="66"/>
    </row>
    <row r="75" spans="1:1" x14ac:dyDescent="0.3">
      <c r="A75" s="66"/>
    </row>
    <row r="76" spans="1:1" x14ac:dyDescent="0.3">
      <c r="A76" s="66"/>
    </row>
    <row r="77" spans="1:1" x14ac:dyDescent="0.3">
      <c r="A77" s="66"/>
    </row>
    <row r="78" spans="1:1" x14ac:dyDescent="0.3">
      <c r="A78" s="66"/>
    </row>
    <row r="79" spans="1:1" x14ac:dyDescent="0.3">
      <c r="A79" s="66"/>
    </row>
    <row r="80" spans="1:1" x14ac:dyDescent="0.3">
      <c r="A80" s="66"/>
    </row>
    <row r="81" spans="1:1" x14ac:dyDescent="0.3">
      <c r="A81" s="66"/>
    </row>
    <row r="82" spans="1:1" x14ac:dyDescent="0.3">
      <c r="A82" s="66"/>
    </row>
    <row r="83" spans="1:1" x14ac:dyDescent="0.3">
      <c r="A83" s="66"/>
    </row>
    <row r="84" spans="1:1" x14ac:dyDescent="0.3">
      <c r="A84" s="66"/>
    </row>
    <row r="85" spans="1:1" x14ac:dyDescent="0.3">
      <c r="A85" s="66"/>
    </row>
    <row r="86" spans="1:1" x14ac:dyDescent="0.3">
      <c r="A86" s="66"/>
    </row>
    <row r="87" spans="1:1" x14ac:dyDescent="0.3">
      <c r="A87" s="66"/>
    </row>
    <row r="88" spans="1:1" x14ac:dyDescent="0.3">
      <c r="A88" s="66"/>
    </row>
    <row r="89" spans="1:1" x14ac:dyDescent="0.3">
      <c r="A89" s="66"/>
    </row>
    <row r="90" spans="1:1" x14ac:dyDescent="0.3">
      <c r="A90" s="66"/>
    </row>
    <row r="91" spans="1:1" x14ac:dyDescent="0.3">
      <c r="A91" s="66"/>
    </row>
    <row r="92" spans="1:1" x14ac:dyDescent="0.3">
      <c r="A92" s="66"/>
    </row>
    <row r="93" spans="1:1" x14ac:dyDescent="0.3">
      <c r="A93" s="66"/>
    </row>
    <row r="94" spans="1:1" x14ac:dyDescent="0.3">
      <c r="A94" s="66"/>
    </row>
    <row r="95" spans="1:1" x14ac:dyDescent="0.3">
      <c r="A95" s="66"/>
    </row>
    <row r="96" spans="1:1" x14ac:dyDescent="0.3">
      <c r="A96" s="66"/>
    </row>
    <row r="97" spans="1:1" x14ac:dyDescent="0.3">
      <c r="A97" s="66"/>
    </row>
    <row r="98" spans="1:1" x14ac:dyDescent="0.3">
      <c r="A98" s="66"/>
    </row>
    <row r="99" spans="1:1" x14ac:dyDescent="0.3">
      <c r="A99" s="66"/>
    </row>
    <row r="100" spans="1:1" x14ac:dyDescent="0.3">
      <c r="A100" s="66"/>
    </row>
    <row r="101" spans="1:1" x14ac:dyDescent="0.3">
      <c r="A101" s="66"/>
    </row>
    <row r="102" spans="1:1" x14ac:dyDescent="0.3">
      <c r="A102" s="66"/>
    </row>
    <row r="103" spans="1:1" x14ac:dyDescent="0.3">
      <c r="A103" s="66"/>
    </row>
    <row r="104" spans="1:1" x14ac:dyDescent="0.3">
      <c r="A104" s="66"/>
    </row>
    <row r="105" spans="1:1" x14ac:dyDescent="0.3">
      <c r="A105" s="66"/>
    </row>
    <row r="106" spans="1:1" x14ac:dyDescent="0.3">
      <c r="A106" s="66"/>
    </row>
    <row r="107" spans="1:1" x14ac:dyDescent="0.3">
      <c r="A107" s="66"/>
    </row>
    <row r="108" spans="1:1" x14ac:dyDescent="0.3">
      <c r="A108" s="66"/>
    </row>
    <row r="109" spans="1:1" x14ac:dyDescent="0.3">
      <c r="A109" s="66"/>
    </row>
    <row r="110" spans="1:1" x14ac:dyDescent="0.3">
      <c r="A110" s="66"/>
    </row>
    <row r="111" spans="1:1" x14ac:dyDescent="0.3">
      <c r="A111" s="66"/>
    </row>
    <row r="112" spans="1:1" x14ac:dyDescent="0.3">
      <c r="A112" s="66"/>
    </row>
    <row r="113" spans="1:1" x14ac:dyDescent="0.3">
      <c r="A113" s="66"/>
    </row>
    <row r="114" spans="1:1" x14ac:dyDescent="0.3">
      <c r="A114" s="66"/>
    </row>
    <row r="115" spans="1:1" x14ac:dyDescent="0.3">
      <c r="A115" s="66"/>
    </row>
    <row r="116" spans="1:1" x14ac:dyDescent="0.3">
      <c r="A116" s="66"/>
    </row>
    <row r="117" spans="1:1" x14ac:dyDescent="0.3">
      <c r="A117" s="66"/>
    </row>
    <row r="118" spans="1:1" x14ac:dyDescent="0.3">
      <c r="A118" s="66"/>
    </row>
    <row r="119" spans="1:1" x14ac:dyDescent="0.3">
      <c r="A119" s="66"/>
    </row>
    <row r="120" spans="1:1" x14ac:dyDescent="0.3">
      <c r="A120" s="66"/>
    </row>
    <row r="121" spans="1:1" x14ac:dyDescent="0.3">
      <c r="A121" s="66"/>
    </row>
    <row r="122" spans="1:1" x14ac:dyDescent="0.3">
      <c r="A122" s="66"/>
    </row>
    <row r="123" spans="1:1" x14ac:dyDescent="0.3">
      <c r="A123" s="66"/>
    </row>
    <row r="124" spans="1:1" x14ac:dyDescent="0.3">
      <c r="A124" s="66"/>
    </row>
    <row r="125" spans="1:1" x14ac:dyDescent="0.3">
      <c r="A125" s="66"/>
    </row>
    <row r="126" spans="1:1" x14ac:dyDescent="0.3">
      <c r="A126" s="66"/>
    </row>
    <row r="127" spans="1:1" x14ac:dyDescent="0.3">
      <c r="A127" s="66"/>
    </row>
    <row r="128" spans="1:1" x14ac:dyDescent="0.3">
      <c r="A128" s="66"/>
    </row>
    <row r="129" spans="1:1" x14ac:dyDescent="0.3">
      <c r="A129" s="66"/>
    </row>
    <row r="130" spans="1:1" x14ac:dyDescent="0.3">
      <c r="A130" s="66"/>
    </row>
    <row r="131" spans="1:1" x14ac:dyDescent="0.3">
      <c r="A131" s="66"/>
    </row>
    <row r="132" spans="1:1" x14ac:dyDescent="0.3">
      <c r="A132" s="66"/>
    </row>
    <row r="133" spans="1:1" x14ac:dyDescent="0.3">
      <c r="A133" s="66"/>
    </row>
    <row r="134" spans="1:1" x14ac:dyDescent="0.3">
      <c r="A134" s="66"/>
    </row>
    <row r="135" spans="1:1" x14ac:dyDescent="0.3">
      <c r="A135" s="66"/>
    </row>
    <row r="136" spans="1:1" x14ac:dyDescent="0.3">
      <c r="A136" s="66"/>
    </row>
    <row r="137" spans="1:1" x14ac:dyDescent="0.3">
      <c r="A137" s="66"/>
    </row>
    <row r="138" spans="1:1" x14ac:dyDescent="0.3">
      <c r="A138" s="66"/>
    </row>
    <row r="139" spans="1:1" x14ac:dyDescent="0.3">
      <c r="A139" s="66"/>
    </row>
    <row r="140" spans="1:1" x14ac:dyDescent="0.3">
      <c r="A140" s="66"/>
    </row>
    <row r="141" spans="1:1" x14ac:dyDescent="0.3">
      <c r="A141" s="66"/>
    </row>
    <row r="142" spans="1:1" x14ac:dyDescent="0.3">
      <c r="A142" s="66"/>
    </row>
    <row r="143" spans="1:1" x14ac:dyDescent="0.3">
      <c r="A143" s="66"/>
    </row>
    <row r="144" spans="1:1" x14ac:dyDescent="0.3">
      <c r="A144" s="66"/>
    </row>
    <row r="145" spans="1:1" x14ac:dyDescent="0.3">
      <c r="A145" s="66"/>
    </row>
    <row r="146" spans="1:1" x14ac:dyDescent="0.3">
      <c r="A146" s="66"/>
    </row>
    <row r="147" spans="1:1" x14ac:dyDescent="0.3">
      <c r="A147" s="66"/>
    </row>
    <row r="148" spans="1:1" x14ac:dyDescent="0.3">
      <c r="A148" s="66"/>
    </row>
    <row r="149" spans="1:1" x14ac:dyDescent="0.3">
      <c r="A149" s="66"/>
    </row>
    <row r="150" spans="1:1" x14ac:dyDescent="0.3">
      <c r="A150" s="66"/>
    </row>
    <row r="151" spans="1:1" x14ac:dyDescent="0.3">
      <c r="A151" s="66"/>
    </row>
    <row r="152" spans="1:1" x14ac:dyDescent="0.3">
      <c r="A152" s="66"/>
    </row>
    <row r="153" spans="1:1" x14ac:dyDescent="0.3">
      <c r="A153" s="66"/>
    </row>
    <row r="154" spans="1:1" x14ac:dyDescent="0.3">
      <c r="A154" s="66"/>
    </row>
    <row r="155" spans="1:1" x14ac:dyDescent="0.3">
      <c r="A155" s="66"/>
    </row>
    <row r="156" spans="1:1" x14ac:dyDescent="0.3">
      <c r="A156" s="66"/>
    </row>
    <row r="157" spans="1:1" x14ac:dyDescent="0.3">
      <c r="A157" s="66"/>
    </row>
    <row r="158" spans="1:1" x14ac:dyDescent="0.3">
      <c r="A158" s="66"/>
    </row>
    <row r="159" spans="1:1" x14ac:dyDescent="0.3">
      <c r="A159" s="66"/>
    </row>
    <row r="160" spans="1:1" x14ac:dyDescent="0.3">
      <c r="A160" s="66"/>
    </row>
    <row r="161" spans="1:1" x14ac:dyDescent="0.3">
      <c r="A161" s="66"/>
    </row>
    <row r="162" spans="1:1" x14ac:dyDescent="0.3">
      <c r="A162" s="66"/>
    </row>
    <row r="163" spans="1:1" x14ac:dyDescent="0.3">
      <c r="A163" s="66"/>
    </row>
    <row r="164" spans="1:1" x14ac:dyDescent="0.3">
      <c r="A164" s="66"/>
    </row>
    <row r="165" spans="1:1" x14ac:dyDescent="0.3">
      <c r="A165" s="66"/>
    </row>
    <row r="166" spans="1:1" x14ac:dyDescent="0.3">
      <c r="A166" s="66"/>
    </row>
    <row r="167" spans="1:1" x14ac:dyDescent="0.3">
      <c r="A167" s="66"/>
    </row>
    <row r="168" spans="1:1" x14ac:dyDescent="0.3">
      <c r="A168" s="66"/>
    </row>
    <row r="169" spans="1:1" x14ac:dyDescent="0.3">
      <c r="A169" s="66"/>
    </row>
    <row r="170" spans="1:1" x14ac:dyDescent="0.3">
      <c r="A170" s="66"/>
    </row>
    <row r="171" spans="1:1" x14ac:dyDescent="0.3">
      <c r="A171" s="66"/>
    </row>
    <row r="172" spans="1:1" x14ac:dyDescent="0.3">
      <c r="A172" s="66"/>
    </row>
    <row r="173" spans="1:1" x14ac:dyDescent="0.3">
      <c r="A173" s="66"/>
    </row>
    <row r="174" spans="1:1" x14ac:dyDescent="0.3">
      <c r="A174" s="66"/>
    </row>
    <row r="175" spans="1:1" x14ac:dyDescent="0.3">
      <c r="A175" s="66"/>
    </row>
    <row r="176" spans="1:1" x14ac:dyDescent="0.3">
      <c r="A176" s="66"/>
    </row>
    <row r="177" spans="1:1" x14ac:dyDescent="0.3">
      <c r="A177" s="66"/>
    </row>
    <row r="178" spans="1:1" x14ac:dyDescent="0.3">
      <c r="A178" s="66"/>
    </row>
    <row r="179" spans="1:1" x14ac:dyDescent="0.3">
      <c r="A179" s="66"/>
    </row>
    <row r="180" spans="1:1" x14ac:dyDescent="0.3">
      <c r="A180" s="66"/>
    </row>
    <row r="181" spans="1:1" x14ac:dyDescent="0.3">
      <c r="A181" s="66"/>
    </row>
    <row r="182" spans="1:1" x14ac:dyDescent="0.3">
      <c r="A182" s="66"/>
    </row>
    <row r="183" spans="1:1" x14ac:dyDescent="0.3">
      <c r="A183" s="66"/>
    </row>
    <row r="184" spans="1:1" x14ac:dyDescent="0.3">
      <c r="A184" s="66"/>
    </row>
    <row r="185" spans="1:1" x14ac:dyDescent="0.3">
      <c r="A185" s="66"/>
    </row>
    <row r="186" spans="1:1" x14ac:dyDescent="0.3">
      <c r="A186" s="66"/>
    </row>
    <row r="187" spans="1:1" x14ac:dyDescent="0.3">
      <c r="A187" s="66"/>
    </row>
    <row r="188" spans="1:1" x14ac:dyDescent="0.3">
      <c r="A188" s="66"/>
    </row>
    <row r="189" spans="1:1" x14ac:dyDescent="0.3">
      <c r="A189" s="66"/>
    </row>
    <row r="190" spans="1:1" x14ac:dyDescent="0.3">
      <c r="A190" s="66"/>
    </row>
    <row r="191" spans="1:1" x14ac:dyDescent="0.3">
      <c r="A191" s="66"/>
    </row>
    <row r="192" spans="1:1" x14ac:dyDescent="0.3">
      <c r="A192" s="66"/>
    </row>
    <row r="193" spans="1:1" x14ac:dyDescent="0.3">
      <c r="A193" s="66"/>
    </row>
    <row r="194" spans="1:1" x14ac:dyDescent="0.3">
      <c r="A194" s="66"/>
    </row>
    <row r="195" spans="1:1" x14ac:dyDescent="0.3">
      <c r="A195" s="66"/>
    </row>
    <row r="196" spans="1:1" x14ac:dyDescent="0.3">
      <c r="A196" s="66"/>
    </row>
    <row r="197" spans="1:1" x14ac:dyDescent="0.3">
      <c r="A197" s="66"/>
    </row>
    <row r="198" spans="1:1" x14ac:dyDescent="0.3">
      <c r="A198" s="66"/>
    </row>
    <row r="199" spans="1:1" x14ac:dyDescent="0.3">
      <c r="A199" s="66"/>
    </row>
    <row r="200" spans="1:1" x14ac:dyDescent="0.3">
      <c r="A200" s="66"/>
    </row>
    <row r="201" spans="1:1" x14ac:dyDescent="0.3">
      <c r="A201" s="66"/>
    </row>
    <row r="202" spans="1:1" x14ac:dyDescent="0.3">
      <c r="A202" s="66"/>
    </row>
    <row r="203" spans="1:1" x14ac:dyDescent="0.3">
      <c r="A203" s="66"/>
    </row>
    <row r="204" spans="1:1" x14ac:dyDescent="0.3">
      <c r="A204" s="66"/>
    </row>
    <row r="205" spans="1:1" x14ac:dyDescent="0.3">
      <c r="A205" s="66"/>
    </row>
    <row r="206" spans="1:1" x14ac:dyDescent="0.3">
      <c r="A206" s="66"/>
    </row>
    <row r="207" spans="1:1" x14ac:dyDescent="0.3">
      <c r="A207" s="66"/>
    </row>
    <row r="208" spans="1:1" x14ac:dyDescent="0.3">
      <c r="A208" s="66"/>
    </row>
    <row r="209" spans="1:1" x14ac:dyDescent="0.3">
      <c r="A209" s="66"/>
    </row>
    <row r="210" spans="1:1" x14ac:dyDescent="0.3">
      <c r="A210" s="66"/>
    </row>
    <row r="211" spans="1:1" x14ac:dyDescent="0.3">
      <c r="A211" s="66"/>
    </row>
    <row r="212" spans="1:1" x14ac:dyDescent="0.3">
      <c r="A212" s="66"/>
    </row>
    <row r="213" spans="1:1" x14ac:dyDescent="0.3">
      <c r="A213" s="66"/>
    </row>
    <row r="214" spans="1:1" x14ac:dyDescent="0.3">
      <c r="A214" s="66"/>
    </row>
    <row r="215" spans="1:1" x14ac:dyDescent="0.3">
      <c r="A215" s="66"/>
    </row>
    <row r="216" spans="1:1" x14ac:dyDescent="0.3">
      <c r="A216" s="66"/>
    </row>
    <row r="217" spans="1:1" x14ac:dyDescent="0.3">
      <c r="A217" s="66"/>
    </row>
    <row r="218" spans="1:1" x14ac:dyDescent="0.3">
      <c r="A218" s="66"/>
    </row>
    <row r="219" spans="1:1" x14ac:dyDescent="0.3">
      <c r="A219" s="66"/>
    </row>
    <row r="220" spans="1:1" x14ac:dyDescent="0.3">
      <c r="A220" s="66"/>
    </row>
    <row r="221" spans="1:1" x14ac:dyDescent="0.3">
      <c r="A221" s="66"/>
    </row>
    <row r="222" spans="1:1" x14ac:dyDescent="0.3">
      <c r="A222" s="66"/>
    </row>
    <row r="223" spans="1:1" x14ac:dyDescent="0.3">
      <c r="A223" s="66"/>
    </row>
    <row r="224" spans="1:1" x14ac:dyDescent="0.3">
      <c r="A224" s="66"/>
    </row>
    <row r="225" spans="1:1" x14ac:dyDescent="0.3">
      <c r="A225" s="66"/>
    </row>
    <row r="226" spans="1:1" x14ac:dyDescent="0.3">
      <c r="A226" s="66"/>
    </row>
    <row r="227" spans="1:1" x14ac:dyDescent="0.3">
      <c r="A227" s="66"/>
    </row>
    <row r="228" spans="1:1" x14ac:dyDescent="0.3">
      <c r="A228" s="66"/>
    </row>
    <row r="229" spans="1:1" x14ac:dyDescent="0.3">
      <c r="A229" s="66"/>
    </row>
    <row r="230" spans="1:1" x14ac:dyDescent="0.3">
      <c r="A230" s="66"/>
    </row>
    <row r="231" spans="1:1" x14ac:dyDescent="0.3">
      <c r="A231" s="66"/>
    </row>
    <row r="232" spans="1:1" x14ac:dyDescent="0.3">
      <c r="A232" s="66"/>
    </row>
    <row r="233" spans="1:1" x14ac:dyDescent="0.3">
      <c r="A233" s="66"/>
    </row>
    <row r="234" spans="1:1" x14ac:dyDescent="0.3">
      <c r="A234" s="66"/>
    </row>
    <row r="235" spans="1:1" x14ac:dyDescent="0.3">
      <c r="A235" s="66"/>
    </row>
    <row r="236" spans="1:1" x14ac:dyDescent="0.3">
      <c r="A236" s="66"/>
    </row>
    <row r="237" spans="1:1" x14ac:dyDescent="0.3">
      <c r="A237" s="66"/>
    </row>
    <row r="238" spans="1:1" x14ac:dyDescent="0.3">
      <c r="A238" s="66"/>
    </row>
    <row r="239" spans="1:1" x14ac:dyDescent="0.3">
      <c r="A239" s="66"/>
    </row>
    <row r="240" spans="1:1" x14ac:dyDescent="0.3">
      <c r="A240" s="66"/>
    </row>
    <row r="241" spans="1:1" x14ac:dyDescent="0.3">
      <c r="A241" s="66"/>
    </row>
    <row r="242" spans="1:1" x14ac:dyDescent="0.3">
      <c r="A242" s="66"/>
    </row>
    <row r="243" spans="1:1" x14ac:dyDescent="0.3">
      <c r="A243" s="66"/>
    </row>
    <row r="244" spans="1:1" x14ac:dyDescent="0.3">
      <c r="A244" s="66"/>
    </row>
    <row r="245" spans="1:1" x14ac:dyDescent="0.3">
      <c r="A245" s="66"/>
    </row>
    <row r="246" spans="1:1" x14ac:dyDescent="0.3">
      <c r="A246" s="66"/>
    </row>
  </sheetData>
  <mergeCells count="3">
    <mergeCell ref="B12:C12"/>
    <mergeCell ref="B20:C20"/>
    <mergeCell ref="B5:E7"/>
  </mergeCells>
  <printOptions horizontalCentered="1" headings="1"/>
  <pageMargins left="1" right="1" top="1.25" bottom="1" header="0.5" footer="0.5"/>
  <pageSetup scale="64" orientation="portrait" r:id="rId1"/>
  <headerFooter scaleWithDoc="0">
    <oddHeader>&amp;R&amp;"Arial,Bold"ICC Docket No. 17-0312
Statewide Quarterly Report ComEd 2019 Q4 
Tab: &amp;A</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4.9989318521683403E-2"/>
    <pageSetUpPr fitToPage="1"/>
  </sheetPr>
  <dimension ref="A1:V153"/>
  <sheetViews>
    <sheetView topLeftCell="A13" zoomScale="75" workbookViewId="0">
      <selection activeCell="E30" sqref="E30"/>
    </sheetView>
  </sheetViews>
  <sheetFormatPr defaultColWidth="0" defaultRowHeight="15" zeroHeight="1" x14ac:dyDescent="0.25"/>
  <cols>
    <col min="1" max="1" width="3.5703125" customWidth="1"/>
    <col min="2" max="2" width="18.5703125" style="12" customWidth="1"/>
    <col min="3" max="3" width="22.140625" customWidth="1"/>
    <col min="4" max="4" width="24.140625" customWidth="1"/>
    <col min="5" max="6" width="18.5703125" customWidth="1"/>
    <col min="7" max="7" width="19.140625" customWidth="1"/>
    <col min="8" max="8" width="3.140625" customWidth="1"/>
    <col min="9" max="9" width="31.5703125" customWidth="1"/>
    <col min="10" max="10" width="32.7109375" style="242" bestFit="1" customWidth="1"/>
    <col min="11" max="11" width="42.7109375" style="242" bestFit="1" customWidth="1"/>
    <col min="12" max="15" width="17.7109375" style="242" bestFit="1" customWidth="1"/>
    <col min="16" max="16" width="29.140625" style="242" bestFit="1" customWidth="1"/>
    <col min="17" max="18" width="17.140625" style="242" bestFit="1" customWidth="1"/>
    <col min="19" max="19" width="12.140625" customWidth="1"/>
    <col min="20" max="20" width="9.140625" customWidth="1"/>
    <col min="21" max="22" width="0" hidden="1" customWidth="1"/>
    <col min="23" max="16384" width="9.140625" hidden="1"/>
  </cols>
  <sheetData>
    <row r="1" spans="1:22" x14ac:dyDescent="0.25">
      <c r="A1" s="66"/>
      <c r="B1" s="72" t="s">
        <v>0</v>
      </c>
      <c r="C1" s="66"/>
      <c r="D1" s="66"/>
      <c r="E1" s="66"/>
      <c r="F1" s="66"/>
      <c r="G1" s="66"/>
      <c r="H1" s="66"/>
      <c r="I1" s="66"/>
      <c r="J1" s="241"/>
      <c r="K1" s="241"/>
      <c r="L1" s="241"/>
      <c r="M1" s="241"/>
      <c r="N1" s="241"/>
      <c r="O1" s="241"/>
      <c r="P1" s="241"/>
      <c r="Q1" s="241"/>
      <c r="R1" s="241"/>
      <c r="S1" s="66"/>
      <c r="T1" s="66"/>
      <c r="U1" s="66"/>
      <c r="V1" s="66"/>
    </row>
    <row r="2" spans="1:22" x14ac:dyDescent="0.25">
      <c r="A2" s="66"/>
      <c r="B2" s="72" t="s">
        <v>453</v>
      </c>
      <c r="C2" s="66"/>
      <c r="D2" s="66"/>
      <c r="E2" s="66"/>
      <c r="F2" s="66"/>
      <c r="G2" s="66"/>
      <c r="H2" s="66"/>
      <c r="I2" s="66"/>
      <c r="J2" s="241"/>
      <c r="K2" s="241"/>
      <c r="L2" s="241"/>
      <c r="M2" s="241"/>
      <c r="N2" s="241"/>
      <c r="O2" s="241"/>
      <c r="P2" s="241"/>
      <c r="Q2" s="241"/>
      <c r="R2" s="241"/>
      <c r="S2" s="66"/>
      <c r="T2" s="66"/>
      <c r="U2" s="66"/>
      <c r="V2" s="66"/>
    </row>
    <row r="3" spans="1:22" x14ac:dyDescent="0.25">
      <c r="A3" s="66"/>
      <c r="B3" s="72"/>
      <c r="C3" s="66"/>
      <c r="D3" s="66"/>
      <c r="E3" s="66"/>
      <c r="F3" s="66"/>
      <c r="G3" s="66"/>
      <c r="H3" s="66"/>
      <c r="I3" s="66"/>
      <c r="J3" s="241"/>
      <c r="K3" s="241"/>
      <c r="L3" s="241"/>
      <c r="M3" s="241"/>
      <c r="N3" s="241"/>
      <c r="O3" s="241"/>
      <c r="P3" s="241"/>
      <c r="Q3" s="241"/>
      <c r="R3" s="241"/>
      <c r="S3" s="66"/>
      <c r="T3" s="66"/>
      <c r="U3" s="66"/>
      <c r="V3" s="66"/>
    </row>
    <row r="4" spans="1:22" x14ac:dyDescent="0.25">
      <c r="A4" s="66"/>
      <c r="B4" s="72"/>
      <c r="C4" s="66"/>
      <c r="D4" s="66"/>
      <c r="E4" s="66"/>
      <c r="F4" s="66"/>
      <c r="G4" s="66"/>
      <c r="H4" s="66"/>
      <c r="I4" s="66"/>
      <c r="J4" s="241"/>
      <c r="K4" s="241"/>
      <c r="L4" s="241"/>
      <c r="M4" s="241"/>
      <c r="N4" s="241"/>
      <c r="O4" s="241"/>
      <c r="P4" s="241"/>
      <c r="Q4" s="241"/>
      <c r="R4" s="241"/>
      <c r="S4" s="66"/>
      <c r="T4" s="66"/>
      <c r="U4" s="66"/>
      <c r="V4" s="66"/>
    </row>
    <row r="5" spans="1:22" ht="14.85" customHeight="1" x14ac:dyDescent="0.25">
      <c r="A5" s="66"/>
      <c r="B5" s="528" t="s">
        <v>454</v>
      </c>
      <c r="C5" s="528"/>
      <c r="D5" s="528"/>
      <c r="E5" s="528"/>
      <c r="F5" s="528"/>
      <c r="G5" s="528"/>
      <c r="H5" s="66"/>
      <c r="I5" s="66"/>
      <c r="J5" s="241"/>
      <c r="K5" s="241"/>
      <c r="L5" s="241"/>
      <c r="M5" s="241"/>
      <c r="N5" s="241"/>
      <c r="O5" s="241"/>
      <c r="P5" s="241"/>
      <c r="Q5" s="241"/>
      <c r="R5" s="241"/>
      <c r="S5" s="66"/>
      <c r="T5" s="66"/>
      <c r="U5" s="66"/>
      <c r="V5" s="66"/>
    </row>
    <row r="6" spans="1:22" x14ac:dyDescent="0.25">
      <c r="A6" s="66"/>
      <c r="B6" s="528"/>
      <c r="C6" s="528"/>
      <c r="D6" s="528"/>
      <c r="E6" s="528"/>
      <c r="F6" s="528"/>
      <c r="G6" s="528"/>
      <c r="H6" s="66"/>
      <c r="I6" s="66"/>
      <c r="J6" s="241"/>
      <c r="K6" s="241"/>
      <c r="L6" s="241"/>
      <c r="M6" s="241"/>
      <c r="N6" s="241"/>
      <c r="O6" s="241"/>
      <c r="P6" s="241"/>
      <c r="Q6" s="241"/>
      <c r="R6" s="241"/>
      <c r="S6" s="66"/>
      <c r="T6" s="66"/>
      <c r="U6" s="66"/>
      <c r="V6" s="66"/>
    </row>
    <row r="7" spans="1:22" x14ac:dyDescent="0.25">
      <c r="A7" s="66"/>
      <c r="B7" s="528"/>
      <c r="C7" s="528"/>
      <c r="D7" s="528"/>
      <c r="E7" s="528"/>
      <c r="F7" s="528"/>
      <c r="G7" s="528"/>
      <c r="H7" s="66"/>
      <c r="I7" s="66"/>
      <c r="J7" s="241"/>
      <c r="K7" s="241"/>
      <c r="L7" s="241"/>
      <c r="M7" s="241"/>
      <c r="N7" s="241"/>
      <c r="O7" s="241"/>
      <c r="P7" s="241"/>
      <c r="Q7" s="241"/>
      <c r="R7" s="241"/>
      <c r="S7" s="66"/>
      <c r="T7" s="66"/>
      <c r="U7" s="66"/>
      <c r="V7" s="66"/>
    </row>
    <row r="8" spans="1:22" x14ac:dyDescent="0.25">
      <c r="A8" s="66"/>
      <c r="B8" s="528"/>
      <c r="C8" s="528"/>
      <c r="D8" s="528"/>
      <c r="E8" s="528"/>
      <c r="F8" s="528"/>
      <c r="G8" s="528"/>
      <c r="H8" s="66"/>
      <c r="I8" s="66"/>
      <c r="J8" s="241"/>
      <c r="K8" s="241"/>
      <c r="L8" s="241"/>
      <c r="M8" s="241"/>
      <c r="N8" s="241"/>
      <c r="O8" s="241"/>
      <c r="P8" s="241"/>
      <c r="Q8" s="241"/>
      <c r="R8" s="241"/>
      <c r="S8" s="66"/>
      <c r="T8" s="66"/>
      <c r="U8" s="66"/>
      <c r="V8" s="66"/>
    </row>
    <row r="9" spans="1:22" x14ac:dyDescent="0.25">
      <c r="A9" s="66"/>
      <c r="B9" s="528"/>
      <c r="C9" s="528"/>
      <c r="D9" s="528"/>
      <c r="E9" s="528"/>
      <c r="F9" s="528"/>
      <c r="G9" s="528"/>
      <c r="H9" s="66"/>
      <c r="I9" s="66"/>
      <c r="J9" s="241"/>
      <c r="K9" s="241"/>
      <c r="L9" s="241"/>
      <c r="M9" s="241"/>
      <c r="N9" s="241"/>
      <c r="O9" s="241"/>
      <c r="P9" s="241"/>
      <c r="Q9" s="241"/>
      <c r="R9" s="241"/>
      <c r="S9" s="66"/>
      <c r="T9" s="66"/>
      <c r="U9" s="66"/>
      <c r="V9" s="66"/>
    </row>
    <row r="10" spans="1:22" x14ac:dyDescent="0.25">
      <c r="A10" s="66"/>
      <c r="B10" s="71"/>
      <c r="C10" s="66"/>
      <c r="D10" s="66"/>
      <c r="E10" s="66"/>
      <c r="F10" s="66"/>
      <c r="G10" s="66"/>
      <c r="H10" s="66"/>
      <c r="I10" s="66"/>
      <c r="J10" s="241"/>
      <c r="K10" s="241"/>
      <c r="L10" s="241"/>
      <c r="M10" s="241"/>
      <c r="N10" s="241"/>
      <c r="O10" s="241"/>
      <c r="P10" s="241"/>
      <c r="Q10" s="241"/>
      <c r="R10" s="241"/>
      <c r="S10" s="66"/>
      <c r="T10" s="66"/>
      <c r="U10" s="66"/>
      <c r="V10" s="66"/>
    </row>
    <row r="11" spans="1:22" ht="18" x14ac:dyDescent="0.25">
      <c r="A11" s="66"/>
      <c r="B11" s="74" t="s">
        <v>455</v>
      </c>
      <c r="C11" s="74"/>
      <c r="D11" s="75"/>
      <c r="E11" s="75"/>
      <c r="F11" s="75"/>
      <c r="G11" s="75"/>
      <c r="H11" s="66"/>
      <c r="I11" s="140" t="s">
        <v>456</v>
      </c>
      <c r="J11" s="241"/>
      <c r="K11" s="241"/>
      <c r="L11" s="241"/>
      <c r="M11" s="241"/>
      <c r="N11" s="241"/>
      <c r="O11" s="241"/>
      <c r="P11" s="241"/>
      <c r="Q11" s="241"/>
      <c r="R11" s="241"/>
      <c r="S11" s="66"/>
      <c r="T11" s="66"/>
      <c r="U11" s="66"/>
      <c r="V11" s="66"/>
    </row>
    <row r="12" spans="1:22" ht="18" customHeight="1" x14ac:dyDescent="0.3">
      <c r="A12" s="66"/>
      <c r="B12" s="232" t="str">
        <f>'1- Ex Ante Results'!C19</f>
        <v>CY2024 Q3</v>
      </c>
      <c r="C12" s="76"/>
      <c r="D12" s="75"/>
      <c r="E12" s="75"/>
      <c r="F12" s="75"/>
      <c r="G12" s="75"/>
      <c r="H12" s="66"/>
      <c r="I12" s="141"/>
      <c r="J12" s="241"/>
      <c r="K12" s="241"/>
      <c r="L12" s="241"/>
      <c r="M12" s="241"/>
      <c r="N12" s="241"/>
      <c r="O12" s="241"/>
      <c r="P12" s="241"/>
      <c r="Q12" s="241"/>
      <c r="R12" s="241"/>
      <c r="S12" s="66"/>
      <c r="T12" s="66"/>
      <c r="U12" s="66"/>
      <c r="V12" s="66"/>
    </row>
    <row r="13" spans="1:22" s="12" customFormat="1" ht="64.349999999999994" customHeight="1" x14ac:dyDescent="0.25">
      <c r="A13" s="71"/>
      <c r="B13" s="11" t="s">
        <v>457</v>
      </c>
      <c r="C13" s="5" t="s">
        <v>458</v>
      </c>
      <c r="D13" s="5" t="s">
        <v>459</v>
      </c>
      <c r="E13" s="5" t="s">
        <v>460</v>
      </c>
      <c r="F13" s="5" t="s">
        <v>461</v>
      </c>
      <c r="G13" s="5" t="s">
        <v>462</v>
      </c>
      <c r="H13" s="71"/>
      <c r="I13" s="11" t="s">
        <v>463</v>
      </c>
      <c r="J13" s="5" t="s">
        <v>464</v>
      </c>
      <c r="K13" s="5" t="s">
        <v>465</v>
      </c>
      <c r="L13" s="5" t="s">
        <v>466</v>
      </c>
      <c r="M13" s="5" t="s">
        <v>467</v>
      </c>
      <c r="N13" s="5" t="s">
        <v>468</v>
      </c>
      <c r="O13" s="5" t="s">
        <v>469</v>
      </c>
      <c r="P13" s="5" t="s">
        <v>470</v>
      </c>
      <c r="Q13" s="5" t="s">
        <v>471</v>
      </c>
      <c r="R13" s="5" t="s">
        <v>472</v>
      </c>
      <c r="S13" s="71"/>
      <c r="T13" s="71"/>
      <c r="U13" s="71"/>
      <c r="V13" s="71"/>
    </row>
    <row r="14" spans="1:22" ht="31.35" customHeight="1" x14ac:dyDescent="0.3">
      <c r="A14" s="66"/>
      <c r="B14" s="46" t="s">
        <v>473</v>
      </c>
      <c r="C14" s="7" t="s">
        <v>474</v>
      </c>
      <c r="D14" s="8">
        <v>163717</v>
      </c>
      <c r="E14" s="8">
        <v>148842</v>
      </c>
      <c r="F14" s="8">
        <f>E14</f>
        <v>148842</v>
      </c>
      <c r="G14" s="9">
        <f>D14/F14</f>
        <v>1.0999381894895257</v>
      </c>
      <c r="H14" s="66"/>
      <c r="I14" s="34" t="s">
        <v>475</v>
      </c>
      <c r="J14" s="249">
        <v>18636</v>
      </c>
      <c r="K14" s="249">
        <v>34038</v>
      </c>
      <c r="L14" s="249">
        <v>54130</v>
      </c>
      <c r="M14" s="249">
        <v>107640</v>
      </c>
      <c r="N14" s="249">
        <v>98944</v>
      </c>
      <c r="O14" s="249">
        <v>86439</v>
      </c>
      <c r="P14" s="249">
        <v>85124.305999999997</v>
      </c>
      <c r="Q14" s="250">
        <v>30340.597000000002</v>
      </c>
      <c r="R14" s="249">
        <v>171941.09</v>
      </c>
      <c r="S14" s="66"/>
      <c r="T14" s="66"/>
      <c r="U14" s="66"/>
      <c r="V14" s="66"/>
    </row>
    <row r="15" spans="1:22" s="12" customFormat="1" ht="31.35" customHeight="1" x14ac:dyDescent="0.3">
      <c r="A15" s="71"/>
      <c r="B15" s="46" t="s">
        <v>476</v>
      </c>
      <c r="C15" s="7" t="s">
        <v>474</v>
      </c>
      <c r="D15" s="32">
        <v>472132</v>
      </c>
      <c r="E15" s="32">
        <v>312339</v>
      </c>
      <c r="F15" s="8">
        <f>E15</f>
        <v>312339</v>
      </c>
      <c r="G15" s="33">
        <f t="shared" ref="G15:G30" si="0">D15/F15</f>
        <v>1.5116011769263524</v>
      </c>
      <c r="H15" s="71"/>
      <c r="I15" s="30" t="s">
        <v>477</v>
      </c>
      <c r="J15" s="240" t="s">
        <v>474</v>
      </c>
      <c r="K15" s="240" t="s">
        <v>474</v>
      </c>
      <c r="L15" s="240" t="s">
        <v>474</v>
      </c>
      <c r="M15" s="240" t="s">
        <v>474</v>
      </c>
      <c r="N15" s="240" t="s">
        <v>474</v>
      </c>
      <c r="O15" s="240" t="s">
        <v>474</v>
      </c>
      <c r="P15" s="240" t="s">
        <v>478</v>
      </c>
      <c r="Q15" s="240" t="s">
        <v>478</v>
      </c>
      <c r="R15" s="240" t="s">
        <v>478</v>
      </c>
      <c r="S15" s="71"/>
      <c r="T15" s="71"/>
      <c r="U15" s="71"/>
      <c r="V15" s="71"/>
    </row>
    <row r="16" spans="1:22" ht="31.35" customHeight="1" x14ac:dyDescent="0.3">
      <c r="A16" s="66"/>
      <c r="B16" s="46" t="s">
        <v>479</v>
      </c>
      <c r="C16" s="7" t="s">
        <v>474</v>
      </c>
      <c r="D16" s="8">
        <v>626715</v>
      </c>
      <c r="E16" s="8">
        <v>458919</v>
      </c>
      <c r="F16" s="8">
        <f>E16</f>
        <v>458919</v>
      </c>
      <c r="G16" s="9">
        <f t="shared" si="0"/>
        <v>1.3656331509482065</v>
      </c>
      <c r="H16" s="66"/>
      <c r="I16" s="42" t="s">
        <v>480</v>
      </c>
      <c r="J16" s="243" t="s">
        <v>481</v>
      </c>
      <c r="K16" s="243" t="s">
        <v>482</v>
      </c>
      <c r="L16" s="239" t="s">
        <v>483</v>
      </c>
      <c r="M16" s="239" t="s">
        <v>484</v>
      </c>
      <c r="N16" s="239" t="s">
        <v>485</v>
      </c>
      <c r="O16" s="239" t="s">
        <v>486</v>
      </c>
      <c r="P16" s="243" t="s">
        <v>487</v>
      </c>
      <c r="Q16" s="239" t="s">
        <v>488</v>
      </c>
      <c r="R16" s="239" t="s">
        <v>488</v>
      </c>
      <c r="S16" s="66"/>
      <c r="T16" s="66"/>
      <c r="U16" s="66"/>
      <c r="V16" s="66"/>
    </row>
    <row r="17" spans="1:22" ht="28.5" x14ac:dyDescent="0.3">
      <c r="A17" s="66"/>
      <c r="B17" s="36" t="s">
        <v>489</v>
      </c>
      <c r="C17" s="21"/>
      <c r="D17" s="22">
        <f>SUM(D14:D16)</f>
        <v>1262564</v>
      </c>
      <c r="E17" s="22">
        <f>SUM(E14:E16)</f>
        <v>920100</v>
      </c>
      <c r="F17" s="22">
        <f>SUM(F14:F16)</f>
        <v>920100</v>
      </c>
      <c r="G17" s="23">
        <f t="shared" si="0"/>
        <v>1.3722030214107162</v>
      </c>
      <c r="H17" s="66"/>
      <c r="I17" s="167"/>
      <c r="J17" s="241"/>
      <c r="K17" s="241"/>
      <c r="L17" s="241"/>
      <c r="M17" s="241"/>
      <c r="N17" s="241"/>
      <c r="O17" s="241"/>
      <c r="P17" s="241"/>
      <c r="Q17" s="241"/>
      <c r="R17" s="241"/>
      <c r="S17" s="66"/>
      <c r="T17" s="66"/>
      <c r="U17" s="66"/>
      <c r="V17" s="66"/>
    </row>
    <row r="18" spans="1:22" ht="31.35" customHeight="1" x14ac:dyDescent="0.3">
      <c r="A18" s="66"/>
      <c r="B18" s="46" t="s">
        <v>490</v>
      </c>
      <c r="C18" s="7" t="s">
        <v>474</v>
      </c>
      <c r="D18" s="8">
        <v>944111</v>
      </c>
      <c r="E18" s="8">
        <v>610804</v>
      </c>
      <c r="F18" s="8">
        <f>E18</f>
        <v>610804</v>
      </c>
      <c r="G18" s="9">
        <f t="shared" si="0"/>
        <v>1.5456856864067687</v>
      </c>
      <c r="H18" s="66"/>
      <c r="I18" s="167" t="s">
        <v>197</v>
      </c>
      <c r="J18" s="241"/>
      <c r="K18" s="241"/>
      <c r="L18" s="241"/>
      <c r="M18" s="241"/>
      <c r="N18" s="241"/>
      <c r="O18" s="241"/>
      <c r="P18" s="241"/>
      <c r="Q18" s="241"/>
      <c r="R18" s="241"/>
      <c r="S18" s="66"/>
      <c r="T18" s="66"/>
      <c r="U18" s="66"/>
      <c r="V18" s="66"/>
    </row>
    <row r="19" spans="1:22" ht="31.35" customHeight="1" x14ac:dyDescent="0.3">
      <c r="A19" s="66"/>
      <c r="B19" s="46" t="s">
        <v>491</v>
      </c>
      <c r="C19" s="7" t="s">
        <v>474</v>
      </c>
      <c r="D19" s="8">
        <v>942061</v>
      </c>
      <c r="E19" s="8">
        <v>806353</v>
      </c>
      <c r="F19" s="8">
        <f>E19</f>
        <v>806353</v>
      </c>
      <c r="G19" s="9">
        <f t="shared" si="0"/>
        <v>1.1682984995405239</v>
      </c>
      <c r="H19" s="66"/>
      <c r="I19" s="500" t="s">
        <v>492</v>
      </c>
      <c r="J19" s="501"/>
      <c r="K19" s="501"/>
      <c r="L19" s="501"/>
      <c r="M19" s="501"/>
      <c r="N19" s="501"/>
      <c r="O19" s="501"/>
      <c r="P19" s="501"/>
      <c r="Q19" s="501"/>
      <c r="R19" s="502"/>
      <c r="S19" s="66"/>
      <c r="T19" s="66"/>
      <c r="U19" s="66"/>
      <c r="V19" s="66"/>
    </row>
    <row r="20" spans="1:22" ht="31.35" customHeight="1" x14ac:dyDescent="0.3">
      <c r="A20" s="66"/>
      <c r="B20" s="46" t="s">
        <v>493</v>
      </c>
      <c r="C20" s="7" t="s">
        <v>474</v>
      </c>
      <c r="D20" s="8">
        <v>977911</v>
      </c>
      <c r="E20" s="8">
        <v>809556</v>
      </c>
      <c r="F20" s="8">
        <v>791103</v>
      </c>
      <c r="G20" s="9">
        <f t="shared" si="0"/>
        <v>1.2361361289237938</v>
      </c>
      <c r="H20" s="66"/>
      <c r="I20" s="500" t="s">
        <v>494</v>
      </c>
      <c r="J20" s="501"/>
      <c r="K20" s="501"/>
      <c r="L20" s="501"/>
      <c r="M20" s="501"/>
      <c r="N20" s="501"/>
      <c r="O20" s="501"/>
      <c r="P20" s="501"/>
      <c r="Q20" s="501"/>
      <c r="R20" s="502"/>
      <c r="S20" s="66"/>
      <c r="T20" s="66"/>
      <c r="U20" s="66"/>
      <c r="V20" s="66"/>
    </row>
    <row r="21" spans="1:22" ht="43.5" customHeight="1" x14ac:dyDescent="0.3">
      <c r="A21" s="66"/>
      <c r="B21" s="36" t="s">
        <v>495</v>
      </c>
      <c r="C21" s="21"/>
      <c r="D21" s="22">
        <f>SUM(D18:D20)</f>
        <v>2864083</v>
      </c>
      <c r="E21" s="22">
        <f>SUM(E18:E20)</f>
        <v>2226713</v>
      </c>
      <c r="F21" s="22">
        <f>SUM(F18:F20)</f>
        <v>2208260</v>
      </c>
      <c r="G21" s="23">
        <f t="shared" si="0"/>
        <v>1.2969863150172534</v>
      </c>
      <c r="H21" s="66"/>
      <c r="I21" s="66"/>
      <c r="J21" s="241"/>
      <c r="K21" s="241"/>
      <c r="L21" s="241"/>
      <c r="M21" s="241"/>
      <c r="N21" s="241"/>
      <c r="O21" s="241"/>
      <c r="P21" s="241"/>
      <c r="Q21" s="241"/>
      <c r="R21" s="241"/>
      <c r="S21" s="66"/>
      <c r="T21" s="66"/>
      <c r="U21" s="66"/>
      <c r="V21" s="66"/>
    </row>
    <row r="22" spans="1:22" ht="31.35" customHeight="1" x14ac:dyDescent="0.3">
      <c r="A22" s="66"/>
      <c r="B22" s="46" t="s">
        <v>496</v>
      </c>
      <c r="C22" s="7" t="s">
        <v>478</v>
      </c>
      <c r="D22" s="8">
        <v>809877.65800000005</v>
      </c>
      <c r="E22" s="8">
        <v>648029</v>
      </c>
      <c r="F22" s="56">
        <f>E22</f>
        <v>648029</v>
      </c>
      <c r="G22" s="9">
        <f t="shared" si="0"/>
        <v>1.2497552702116728</v>
      </c>
      <c r="H22" s="66"/>
      <c r="I22" s="66"/>
      <c r="J22" s="241"/>
      <c r="K22" s="241"/>
      <c r="L22" s="241"/>
      <c r="M22" s="241"/>
      <c r="N22" s="241"/>
      <c r="O22" s="241"/>
      <c r="P22" s="241"/>
      <c r="Q22" s="241"/>
      <c r="R22" s="241"/>
      <c r="S22" s="66"/>
      <c r="T22" s="66"/>
      <c r="U22" s="66"/>
      <c r="V22" s="66"/>
    </row>
    <row r="23" spans="1:22" ht="31.35" customHeight="1" x14ac:dyDescent="0.3">
      <c r="A23" s="66"/>
      <c r="B23" s="46" t="s">
        <v>497</v>
      </c>
      <c r="C23" s="7" t="s">
        <v>478</v>
      </c>
      <c r="D23" s="8">
        <v>671027.05099999998</v>
      </c>
      <c r="E23" s="8">
        <v>541983</v>
      </c>
      <c r="F23" s="56">
        <f>E23</f>
        <v>541983</v>
      </c>
      <c r="G23" s="9">
        <f t="shared" si="0"/>
        <v>1.2380961229411254</v>
      </c>
      <c r="H23" s="66"/>
      <c r="I23" s="66"/>
      <c r="J23" s="241"/>
      <c r="K23" s="241"/>
      <c r="L23" s="241"/>
      <c r="M23" s="241"/>
      <c r="N23" s="241"/>
      <c r="O23" s="241"/>
      <c r="P23" s="241"/>
      <c r="Q23" s="241"/>
      <c r="R23" s="241"/>
      <c r="S23" s="66"/>
      <c r="T23" s="66"/>
      <c r="U23" s="66"/>
      <c r="V23" s="66"/>
    </row>
    <row r="24" spans="1:22" ht="31.35" customHeight="1" x14ac:dyDescent="0.3">
      <c r="A24" s="66"/>
      <c r="B24" s="46" t="s">
        <v>498</v>
      </c>
      <c r="C24" s="10" t="s">
        <v>478</v>
      </c>
      <c r="D24" s="8">
        <v>1087076</v>
      </c>
      <c r="E24" s="8">
        <v>787629</v>
      </c>
      <c r="F24" s="56">
        <f>E24</f>
        <v>787629</v>
      </c>
      <c r="G24" s="9">
        <f t="shared" si="0"/>
        <v>1.3801878803345229</v>
      </c>
      <c r="H24" s="66"/>
      <c r="I24" s="66"/>
      <c r="J24" s="241"/>
      <c r="K24" s="241"/>
      <c r="L24" s="241"/>
      <c r="M24" s="241"/>
      <c r="N24" s="241"/>
      <c r="O24" s="241"/>
      <c r="P24" s="241"/>
      <c r="Q24" s="241"/>
      <c r="R24" s="241"/>
      <c r="S24" s="66"/>
      <c r="T24" s="66"/>
      <c r="U24" s="66"/>
      <c r="V24" s="66"/>
    </row>
    <row r="25" spans="1:22" ht="44.25" customHeight="1" x14ac:dyDescent="0.3">
      <c r="A25" s="66"/>
      <c r="B25" s="36" t="s">
        <v>499</v>
      </c>
      <c r="C25" s="21"/>
      <c r="D25" s="22">
        <f>SUM(D22:D24)</f>
        <v>2567980.7089999998</v>
      </c>
      <c r="E25" s="22">
        <f>SUM(E22:E24)</f>
        <v>1977641</v>
      </c>
      <c r="F25" s="57">
        <f>SUM(F22:F24)</f>
        <v>1977641</v>
      </c>
      <c r="G25" s="23">
        <f t="shared" si="0"/>
        <v>1.298507013659203</v>
      </c>
      <c r="H25" s="66"/>
      <c r="I25" s="66"/>
      <c r="J25" s="241"/>
      <c r="K25" s="241"/>
      <c r="L25" s="241"/>
      <c r="M25" s="241"/>
      <c r="N25" s="241"/>
      <c r="O25" s="241"/>
      <c r="P25" s="241"/>
      <c r="Q25" s="241"/>
      <c r="R25" s="241"/>
      <c r="S25" s="66"/>
      <c r="T25" s="66"/>
      <c r="U25" s="66"/>
      <c r="V25" s="66"/>
    </row>
    <row r="26" spans="1:22" ht="16.5" x14ac:dyDescent="0.3">
      <c r="A26" s="530" t="s">
        <v>500</v>
      </c>
      <c r="B26" s="31">
        <v>2018</v>
      </c>
      <c r="C26" s="10" t="s">
        <v>478</v>
      </c>
      <c r="D26" s="8">
        <v>1859773.2879999999</v>
      </c>
      <c r="E26" s="82">
        <v>1713349</v>
      </c>
      <c r="F26" s="56">
        <f>E26</f>
        <v>1713349</v>
      </c>
      <c r="G26" s="9">
        <f>D26/F26</f>
        <v>1.0854608652411155</v>
      </c>
      <c r="H26" s="66"/>
      <c r="I26" s="66"/>
      <c r="J26" s="241"/>
      <c r="K26" s="241"/>
      <c r="L26" s="241"/>
      <c r="M26" s="241"/>
      <c r="N26" s="241"/>
      <c r="O26" s="241"/>
      <c r="P26" s="241"/>
      <c r="Q26" s="241"/>
      <c r="R26" s="241"/>
      <c r="S26" s="66"/>
      <c r="T26" s="66"/>
      <c r="U26" s="66"/>
      <c r="V26" s="66"/>
    </row>
    <row r="27" spans="1:22" ht="16.5" x14ac:dyDescent="0.3">
      <c r="A27" s="531"/>
      <c r="B27" s="31">
        <v>2019</v>
      </c>
      <c r="C27" s="10" t="s">
        <v>478</v>
      </c>
      <c r="D27" s="8">
        <v>1700029.4500006568</v>
      </c>
      <c r="E27" s="82">
        <v>1629672</v>
      </c>
      <c r="F27" s="56">
        <f>E27</f>
        <v>1629672</v>
      </c>
      <c r="G27" s="9">
        <f t="shared" si="0"/>
        <v>1.043172767281181</v>
      </c>
      <c r="H27" s="66"/>
      <c r="I27" s="66"/>
      <c r="J27" s="241"/>
      <c r="K27" s="241"/>
      <c r="L27" s="241"/>
      <c r="M27" s="241"/>
      <c r="N27" s="241"/>
      <c r="O27" s="241"/>
      <c r="P27" s="241"/>
      <c r="Q27" s="241"/>
      <c r="R27" s="241"/>
      <c r="S27" s="66"/>
      <c r="T27" s="66"/>
      <c r="U27" s="66"/>
      <c r="V27" s="66"/>
    </row>
    <row r="28" spans="1:22" ht="16.5" x14ac:dyDescent="0.3">
      <c r="A28" s="531"/>
      <c r="B28" s="31">
        <v>2020</v>
      </c>
      <c r="C28" s="10" t="s">
        <v>478</v>
      </c>
      <c r="D28" s="8">
        <v>1821166.2136200001</v>
      </c>
      <c r="E28" s="82">
        <v>1637572</v>
      </c>
      <c r="F28" s="56">
        <f>E28</f>
        <v>1637572</v>
      </c>
      <c r="G28" s="9">
        <f t="shared" si="0"/>
        <v>1.1121136741590598</v>
      </c>
      <c r="H28" s="66"/>
      <c r="I28" s="66"/>
      <c r="J28" s="241"/>
      <c r="K28" s="241"/>
      <c r="L28" s="241"/>
      <c r="M28" s="241"/>
      <c r="N28" s="241"/>
      <c r="O28" s="241"/>
      <c r="P28" s="241"/>
      <c r="Q28" s="241"/>
      <c r="R28" s="241"/>
      <c r="S28" s="66"/>
      <c r="T28" s="66"/>
      <c r="U28" s="66"/>
      <c r="V28" s="66"/>
    </row>
    <row r="29" spans="1:22" ht="16.5" x14ac:dyDescent="0.3">
      <c r="A29" s="531"/>
      <c r="B29" s="31">
        <v>2021</v>
      </c>
      <c r="C29" s="10" t="s">
        <v>478</v>
      </c>
      <c r="D29" s="8">
        <v>1849877.162</v>
      </c>
      <c r="E29" s="82">
        <v>1658918</v>
      </c>
      <c r="F29" s="8">
        <f>E29</f>
        <v>1658918</v>
      </c>
      <c r="G29" s="55">
        <f t="shared" si="0"/>
        <v>1.1151106697256887</v>
      </c>
      <c r="H29" s="66"/>
      <c r="I29" s="70"/>
      <c r="J29" s="241"/>
      <c r="K29" s="241"/>
      <c r="L29" s="241"/>
      <c r="M29" s="241"/>
      <c r="N29" s="241"/>
      <c r="O29" s="241"/>
      <c r="P29" s="241"/>
      <c r="Q29" s="241"/>
      <c r="R29" s="241"/>
      <c r="S29" s="66"/>
      <c r="T29" s="66"/>
      <c r="U29" s="66"/>
      <c r="V29" s="66"/>
    </row>
    <row r="30" spans="1:22" ht="42" customHeight="1" x14ac:dyDescent="0.3">
      <c r="A30" s="532"/>
      <c r="B30" s="36" t="s">
        <v>501</v>
      </c>
      <c r="C30" s="21"/>
      <c r="D30" s="22">
        <f>SUM(D26:D29)</f>
        <v>7230846.1136206575</v>
      </c>
      <c r="E30" s="22">
        <f>SUM(E26:E29)</f>
        <v>6639511</v>
      </c>
      <c r="F30" s="22">
        <f>SUM(F26:F29)</f>
        <v>6639511</v>
      </c>
      <c r="G30" s="23">
        <f t="shared" si="0"/>
        <v>1.0890630520260689</v>
      </c>
      <c r="H30" s="66"/>
      <c r="I30" s="66"/>
      <c r="J30" s="241"/>
      <c r="K30" s="241"/>
      <c r="L30" s="241"/>
      <c r="M30" s="241"/>
      <c r="N30" s="241"/>
      <c r="O30" s="241"/>
      <c r="P30" s="241"/>
      <c r="Q30" s="241"/>
      <c r="R30" s="241"/>
      <c r="S30" s="66"/>
      <c r="T30" s="66"/>
      <c r="U30" s="66"/>
      <c r="V30" s="66"/>
    </row>
    <row r="31" spans="1:22" ht="14.85" customHeight="1" x14ac:dyDescent="0.3">
      <c r="A31" s="530" t="s">
        <v>502</v>
      </c>
      <c r="B31" s="31">
        <v>2022</v>
      </c>
      <c r="C31" s="10" t="s">
        <v>478</v>
      </c>
      <c r="D31" s="8">
        <v>1724232</v>
      </c>
      <c r="E31" s="82">
        <v>1738072.00060309</v>
      </c>
      <c r="F31" s="56">
        <f>E31</f>
        <v>1738072.00060309</v>
      </c>
      <c r="G31" s="9">
        <f>D31/F31</f>
        <v>0.99203715346758492</v>
      </c>
      <c r="H31" s="66"/>
      <c r="I31" s="66"/>
      <c r="J31" s="241"/>
      <c r="K31" s="241"/>
      <c r="L31" s="241"/>
      <c r="M31" s="241"/>
      <c r="N31" s="241"/>
      <c r="O31" s="241"/>
      <c r="P31" s="241"/>
      <c r="Q31" s="241"/>
      <c r="R31" s="241"/>
      <c r="S31" s="66"/>
      <c r="T31" s="66"/>
      <c r="U31" s="66"/>
      <c r="V31" s="66"/>
    </row>
    <row r="32" spans="1:22" ht="16.5" x14ac:dyDescent="0.3">
      <c r="A32" s="531"/>
      <c r="B32" s="31">
        <v>2023</v>
      </c>
      <c r="C32" s="10" t="s">
        <v>478</v>
      </c>
      <c r="D32" s="8">
        <f>1601359437.39405/1000</f>
        <v>1601359.4373940499</v>
      </c>
      <c r="E32" s="82">
        <v>1544746.0016381273</v>
      </c>
      <c r="F32" s="56">
        <f>E32</f>
        <v>1544746.0016381273</v>
      </c>
      <c r="G32" s="9">
        <f>D32/F32</f>
        <v>1.0366490255976626</v>
      </c>
      <c r="H32" s="66"/>
      <c r="I32" s="66"/>
      <c r="J32" s="241"/>
      <c r="K32" s="241"/>
      <c r="L32" s="241"/>
      <c r="M32" s="241"/>
      <c r="N32" s="241"/>
      <c r="O32" s="241"/>
      <c r="P32" s="241"/>
      <c r="Q32" s="241"/>
      <c r="R32" s="241"/>
      <c r="S32" s="66"/>
      <c r="T32" s="66"/>
      <c r="U32" s="66"/>
      <c r="V32" s="66"/>
    </row>
    <row r="33" spans="1:22" ht="16.5" x14ac:dyDescent="0.3">
      <c r="A33" s="531"/>
      <c r="B33" s="31">
        <v>2024</v>
      </c>
      <c r="C33" s="10" t="s">
        <v>503</v>
      </c>
      <c r="D33" s="8">
        <f>'1- Ex Ante Results'!$D$116</f>
        <v>1363963.6698318999</v>
      </c>
      <c r="E33" s="82">
        <v>1777872.2980352</v>
      </c>
      <c r="F33" s="56">
        <f>E33</f>
        <v>1777872.2980352</v>
      </c>
      <c r="G33" s="9">
        <f>D33/F33</f>
        <v>0.76718877466017799</v>
      </c>
      <c r="H33" s="66"/>
      <c r="I33" s="66"/>
      <c r="J33" s="241"/>
      <c r="K33" s="241"/>
      <c r="L33" s="241"/>
      <c r="M33" s="241"/>
      <c r="N33" s="241"/>
      <c r="O33" s="241"/>
      <c r="P33" s="241"/>
      <c r="Q33" s="241"/>
      <c r="R33" s="241"/>
      <c r="S33" s="66"/>
      <c r="T33" s="66"/>
      <c r="U33" s="66"/>
      <c r="V33" s="66"/>
    </row>
    <row r="34" spans="1:22" ht="16.5" x14ac:dyDescent="0.3">
      <c r="A34" s="531"/>
      <c r="B34" s="31">
        <v>2025</v>
      </c>
      <c r="C34" s="10" t="s">
        <v>503</v>
      </c>
      <c r="D34" s="8" t="s">
        <v>504</v>
      </c>
      <c r="E34" s="563">
        <v>1747847.8958436295</v>
      </c>
      <c r="F34" s="564">
        <f>E34</f>
        <v>1747847.8958436295</v>
      </c>
      <c r="G34" s="55">
        <v>0</v>
      </c>
      <c r="H34" s="66"/>
      <c r="I34" s="66"/>
      <c r="J34" s="241"/>
      <c r="K34" s="241"/>
      <c r="L34" s="241"/>
      <c r="M34" s="241"/>
      <c r="N34" s="241"/>
      <c r="O34" s="241"/>
      <c r="P34" s="241"/>
      <c r="Q34" s="241"/>
      <c r="R34" s="241"/>
      <c r="S34" s="66"/>
      <c r="T34" s="66"/>
      <c r="U34" s="66"/>
      <c r="V34" s="66"/>
    </row>
    <row r="35" spans="1:22" ht="42" customHeight="1" x14ac:dyDescent="0.3">
      <c r="A35" s="532"/>
      <c r="B35" s="36" t="s">
        <v>505</v>
      </c>
      <c r="C35" s="21"/>
      <c r="D35" s="22">
        <f>SUM(D31:D34)</f>
        <v>4689555.1072259499</v>
      </c>
      <c r="E35" s="22">
        <f>SUM(E31:E34)</f>
        <v>6808538.196120047</v>
      </c>
      <c r="F35" s="22">
        <f>SUM(F31:F34)</f>
        <v>6808538.196120047</v>
      </c>
      <c r="G35" s="23">
        <f>D35/F35</f>
        <v>0.68877561851652191</v>
      </c>
      <c r="H35" s="66"/>
      <c r="I35" s="66"/>
      <c r="J35" s="241"/>
      <c r="K35" s="241"/>
      <c r="L35" s="241"/>
      <c r="M35" s="241"/>
      <c r="N35" s="241"/>
      <c r="O35" s="241"/>
      <c r="P35" s="241"/>
      <c r="Q35" s="241"/>
      <c r="R35" s="241"/>
      <c r="S35" s="66"/>
      <c r="T35" s="66"/>
      <c r="U35" s="66"/>
      <c r="V35" s="66"/>
    </row>
    <row r="36" spans="1:22" x14ac:dyDescent="0.25">
      <c r="A36" s="66"/>
      <c r="B36" s="71"/>
      <c r="C36" s="66"/>
      <c r="D36" s="66"/>
      <c r="E36" s="66"/>
      <c r="F36" s="66"/>
      <c r="G36" s="66"/>
      <c r="H36" s="66"/>
      <c r="I36" s="66"/>
      <c r="J36" s="241"/>
      <c r="K36" s="241"/>
      <c r="L36" s="241"/>
      <c r="M36" s="241"/>
      <c r="N36" s="241"/>
      <c r="O36" s="241"/>
      <c r="P36" s="241"/>
      <c r="Q36" s="241"/>
      <c r="R36" s="241"/>
      <c r="S36" s="66"/>
      <c r="T36" s="66"/>
      <c r="U36" s="66"/>
      <c r="V36" s="66"/>
    </row>
    <row r="37" spans="1:22" x14ac:dyDescent="0.25">
      <c r="A37" s="66"/>
      <c r="B37" s="71"/>
      <c r="C37" s="66"/>
      <c r="D37" s="66"/>
      <c r="E37" s="66"/>
      <c r="F37" s="66"/>
      <c r="G37" s="66"/>
      <c r="H37" s="66"/>
      <c r="I37" s="66"/>
      <c r="J37" s="241"/>
      <c r="K37" s="241"/>
      <c r="L37" s="241"/>
      <c r="M37" s="241"/>
      <c r="N37" s="241"/>
      <c r="O37" s="241"/>
      <c r="P37" s="241"/>
      <c r="Q37" s="241"/>
      <c r="R37" s="241"/>
      <c r="S37" s="66"/>
      <c r="T37" s="66"/>
      <c r="U37" s="66"/>
      <c r="V37" s="66"/>
    </row>
    <row r="38" spans="1:22" x14ac:dyDescent="0.25">
      <c r="A38" s="66"/>
      <c r="B38" s="71"/>
      <c r="C38" s="66"/>
      <c r="D38" s="66"/>
      <c r="E38" s="66"/>
      <c r="F38" s="66"/>
      <c r="G38" s="66"/>
      <c r="H38" s="66"/>
      <c r="I38" s="66"/>
      <c r="J38" s="241"/>
      <c r="K38" s="241"/>
      <c r="L38" s="241"/>
      <c r="M38" s="241"/>
      <c r="N38" s="241"/>
      <c r="O38" s="241"/>
      <c r="P38" s="241"/>
      <c r="Q38" s="241"/>
      <c r="R38" s="241"/>
      <c r="S38" s="66"/>
      <c r="T38" s="66"/>
      <c r="U38" s="66"/>
      <c r="V38" s="66"/>
    </row>
    <row r="39" spans="1:22" x14ac:dyDescent="0.25">
      <c r="A39" s="66"/>
      <c r="B39" s="71"/>
      <c r="C39" s="66"/>
      <c r="D39" s="66"/>
      <c r="E39" s="66"/>
      <c r="F39" s="66"/>
      <c r="G39" s="66"/>
      <c r="H39" s="66"/>
      <c r="I39" s="66"/>
      <c r="J39" s="241"/>
      <c r="K39" s="241"/>
      <c r="L39" s="241"/>
      <c r="M39" s="241"/>
      <c r="N39" s="241"/>
      <c r="O39" s="241"/>
      <c r="P39" s="241"/>
      <c r="Q39" s="241"/>
      <c r="R39" s="241"/>
      <c r="S39" s="66"/>
      <c r="T39" s="66"/>
      <c r="U39" s="66"/>
      <c r="V39" s="66"/>
    </row>
    <row r="40" spans="1:22" x14ac:dyDescent="0.25">
      <c r="A40" s="66"/>
      <c r="B40" s="71"/>
      <c r="C40" s="66"/>
      <c r="D40" s="66"/>
      <c r="E40" s="66"/>
      <c r="F40" s="66"/>
      <c r="G40" s="66"/>
      <c r="H40" s="66"/>
      <c r="I40" s="66"/>
      <c r="J40" s="241"/>
      <c r="K40" s="241"/>
      <c r="L40" s="241"/>
      <c r="M40" s="241"/>
      <c r="N40" s="241"/>
      <c r="O40" s="241"/>
      <c r="P40" s="241"/>
      <c r="Q40" s="241"/>
      <c r="R40" s="241"/>
      <c r="S40" s="66"/>
      <c r="T40" s="66"/>
      <c r="U40" s="66"/>
      <c r="V40" s="66"/>
    </row>
    <row r="41" spans="1:22" x14ac:dyDescent="0.25">
      <c r="A41" s="66"/>
      <c r="B41" s="167" t="s">
        <v>197</v>
      </c>
      <c r="C41" s="66"/>
      <c r="D41" s="66"/>
      <c r="E41" s="66"/>
      <c r="F41" s="66"/>
      <c r="G41" s="66"/>
      <c r="H41" s="66"/>
      <c r="I41" s="66"/>
      <c r="J41" s="241"/>
      <c r="K41" s="241"/>
      <c r="L41" s="241"/>
      <c r="M41" s="241"/>
      <c r="N41" s="241"/>
      <c r="O41" s="241"/>
      <c r="P41" s="241"/>
      <c r="Q41" s="241"/>
      <c r="R41" s="241"/>
      <c r="S41" s="66"/>
      <c r="T41" s="66"/>
      <c r="U41" s="66"/>
      <c r="V41" s="66"/>
    </row>
    <row r="42" spans="1:22" s="81" customFormat="1" ht="44.1" customHeight="1" x14ac:dyDescent="0.25">
      <c r="A42" s="168"/>
      <c r="B42" s="529" t="s">
        <v>506</v>
      </c>
      <c r="C42" s="529"/>
      <c r="D42" s="529"/>
      <c r="E42" s="529"/>
      <c r="F42" s="529"/>
      <c r="G42" s="529"/>
      <c r="H42" s="168"/>
      <c r="I42" s="168"/>
      <c r="J42" s="241"/>
      <c r="K42" s="241"/>
      <c r="L42" s="241"/>
      <c r="M42" s="241"/>
      <c r="N42" s="241"/>
      <c r="O42" s="241"/>
      <c r="P42" s="241"/>
      <c r="Q42" s="241"/>
      <c r="R42" s="241"/>
      <c r="S42" s="168"/>
      <c r="T42" s="168"/>
      <c r="U42" s="168"/>
      <c r="V42" s="168"/>
    </row>
    <row r="43" spans="1:22" s="81" customFormat="1" ht="44.1" customHeight="1" x14ac:dyDescent="0.25">
      <c r="A43" s="168"/>
      <c r="B43" s="529" t="s">
        <v>507</v>
      </c>
      <c r="C43" s="529"/>
      <c r="D43" s="529"/>
      <c r="E43" s="529"/>
      <c r="F43" s="529"/>
      <c r="G43" s="529"/>
      <c r="H43" s="168"/>
      <c r="I43" s="168"/>
      <c r="J43" s="241"/>
      <c r="K43" s="241"/>
      <c r="L43" s="241"/>
      <c r="M43" s="241"/>
      <c r="N43" s="241"/>
      <c r="O43" s="241"/>
      <c r="P43" s="241"/>
      <c r="Q43" s="241"/>
      <c r="R43" s="241"/>
      <c r="S43" s="168"/>
      <c r="T43" s="168"/>
      <c r="U43" s="168"/>
      <c r="V43" s="168"/>
    </row>
    <row r="44" spans="1:22" s="81" customFormat="1" ht="44.1" customHeight="1" x14ac:dyDescent="0.25">
      <c r="A44" s="168"/>
      <c r="B44" s="527" t="s">
        <v>508</v>
      </c>
      <c r="C44" s="527"/>
      <c r="D44" s="527"/>
      <c r="E44" s="527"/>
      <c r="F44" s="527"/>
      <c r="G44" s="527"/>
      <c r="H44" s="168"/>
      <c r="I44" s="168"/>
      <c r="J44" s="241"/>
      <c r="K44" s="241"/>
      <c r="L44" s="241"/>
      <c r="M44" s="241"/>
      <c r="N44" s="241"/>
      <c r="O44" s="241"/>
      <c r="P44" s="241"/>
      <c r="Q44" s="241"/>
      <c r="R44" s="241"/>
      <c r="S44" s="168"/>
      <c r="T44" s="168"/>
      <c r="U44" s="168"/>
      <c r="V44" s="168"/>
    </row>
    <row r="45" spans="1:22" x14ac:dyDescent="0.25">
      <c r="A45" s="66"/>
      <c r="B45" s="71"/>
      <c r="C45" s="66"/>
      <c r="D45" s="66"/>
      <c r="E45" s="66"/>
      <c r="F45" s="66"/>
      <c r="G45" s="66"/>
      <c r="H45" s="66"/>
      <c r="I45" s="66"/>
      <c r="J45" s="241"/>
      <c r="K45" s="241"/>
      <c r="L45" s="241"/>
      <c r="M45" s="241"/>
      <c r="N45" s="241"/>
      <c r="O45" s="241"/>
      <c r="P45" s="241"/>
      <c r="Q45" s="241"/>
      <c r="R45" s="241"/>
      <c r="S45" s="66"/>
      <c r="T45" s="66"/>
      <c r="U45" s="66"/>
      <c r="V45" s="66"/>
    </row>
    <row r="46" spans="1:22" x14ac:dyDescent="0.25">
      <c r="A46" s="66"/>
      <c r="B46" s="71"/>
      <c r="C46" s="66"/>
      <c r="D46" s="66"/>
      <c r="E46" s="66"/>
      <c r="F46" s="66"/>
      <c r="G46" s="66"/>
      <c r="H46" s="66"/>
      <c r="I46" s="66"/>
      <c r="J46" s="241"/>
      <c r="K46" s="241"/>
      <c r="L46" s="241"/>
      <c r="M46" s="241"/>
      <c r="N46" s="241"/>
      <c r="O46" s="241"/>
      <c r="P46" s="241"/>
      <c r="Q46" s="241"/>
      <c r="R46" s="241"/>
      <c r="S46" s="66"/>
      <c r="T46" s="66"/>
      <c r="U46" s="66"/>
      <c r="V46" s="66"/>
    </row>
    <row r="47" spans="1:22" x14ac:dyDescent="0.25">
      <c r="A47" s="66"/>
      <c r="B47" s="71"/>
      <c r="C47" s="66"/>
      <c r="D47" s="66"/>
      <c r="E47" s="66"/>
      <c r="F47" s="66"/>
      <c r="G47" s="66"/>
      <c r="H47" s="66"/>
      <c r="I47" s="66"/>
      <c r="J47" s="241"/>
      <c r="K47" s="241"/>
      <c r="L47" s="241"/>
      <c r="M47" s="241"/>
      <c r="N47" s="241"/>
      <c r="O47" s="241"/>
      <c r="P47" s="241"/>
      <c r="Q47" s="241"/>
      <c r="R47" s="241"/>
      <c r="S47" s="66"/>
      <c r="T47" s="66"/>
      <c r="U47" s="66"/>
      <c r="V47" s="66"/>
    </row>
    <row r="48" spans="1:22" x14ac:dyDescent="0.25">
      <c r="A48" s="66"/>
      <c r="B48" s="71"/>
      <c r="C48" s="66"/>
      <c r="D48" s="66"/>
      <c r="E48" s="66"/>
      <c r="F48" s="66"/>
      <c r="G48" s="66"/>
      <c r="H48" s="66"/>
      <c r="I48" s="66"/>
      <c r="J48" s="241"/>
      <c r="K48" s="241"/>
      <c r="L48" s="241"/>
      <c r="M48" s="241"/>
      <c r="N48" s="241"/>
      <c r="O48" s="241"/>
      <c r="P48" s="241"/>
      <c r="Q48" s="241"/>
      <c r="R48" s="241"/>
      <c r="S48" s="66"/>
      <c r="T48" s="66"/>
      <c r="U48" s="66"/>
      <c r="V48" s="66"/>
    </row>
    <row r="49" spans="1:22" x14ac:dyDescent="0.25">
      <c r="A49" s="66"/>
      <c r="B49" s="71"/>
      <c r="C49" s="66"/>
      <c r="D49" s="66"/>
      <c r="E49" s="66"/>
      <c r="F49" s="66"/>
      <c r="G49" s="66"/>
      <c r="H49" s="66"/>
      <c r="I49" s="66"/>
      <c r="J49" s="241"/>
      <c r="K49" s="241"/>
      <c r="L49" s="241"/>
      <c r="M49" s="241"/>
      <c r="N49" s="241"/>
      <c r="O49" s="241"/>
      <c r="P49" s="241"/>
      <c r="Q49" s="241"/>
      <c r="R49" s="241"/>
      <c r="S49" s="66"/>
      <c r="T49" s="66"/>
      <c r="U49" s="66"/>
      <c r="V49" s="66"/>
    </row>
    <row r="50" spans="1:22" x14ac:dyDescent="0.25">
      <c r="A50" s="66"/>
      <c r="B50" s="71"/>
      <c r="C50" s="66"/>
      <c r="D50" s="66"/>
      <c r="E50" s="66"/>
      <c r="F50" s="66"/>
      <c r="G50" s="66"/>
      <c r="H50" s="66"/>
      <c r="I50" s="66"/>
      <c r="J50" s="241"/>
      <c r="K50" s="241"/>
      <c r="L50" s="241"/>
      <c r="M50" s="241"/>
      <c r="N50" s="241"/>
      <c r="O50" s="241"/>
      <c r="P50" s="241"/>
      <c r="Q50" s="241"/>
      <c r="R50" s="241"/>
      <c r="S50" s="66"/>
      <c r="T50" s="66"/>
      <c r="U50" s="66"/>
      <c r="V50" s="66"/>
    </row>
    <row r="51" spans="1:22" x14ac:dyDescent="0.25">
      <c r="A51" s="66"/>
      <c r="B51" s="71"/>
      <c r="C51" s="66"/>
      <c r="D51" s="66"/>
      <c r="E51" s="66"/>
      <c r="F51" s="66"/>
      <c r="G51" s="66"/>
      <c r="H51" s="66"/>
      <c r="I51" s="66"/>
      <c r="J51" s="241"/>
      <c r="K51" s="241"/>
      <c r="L51" s="241"/>
      <c r="M51" s="241"/>
      <c r="N51" s="241"/>
      <c r="O51" s="241"/>
      <c r="P51" s="241"/>
      <c r="Q51" s="241"/>
      <c r="R51" s="241"/>
      <c r="S51" s="66"/>
      <c r="T51" s="66"/>
      <c r="U51" s="66"/>
      <c r="V51" s="66"/>
    </row>
    <row r="52" spans="1:22" x14ac:dyDescent="0.25">
      <c r="A52" s="66"/>
      <c r="B52" s="71"/>
      <c r="C52" s="66"/>
      <c r="D52" s="66"/>
      <c r="E52" s="66"/>
      <c r="F52" s="66"/>
      <c r="G52" s="66"/>
      <c r="H52" s="66"/>
      <c r="I52" s="66"/>
      <c r="J52" s="241"/>
      <c r="K52" s="241"/>
      <c r="L52" s="241"/>
      <c r="M52" s="241"/>
      <c r="N52" s="241"/>
      <c r="O52" s="241"/>
      <c r="P52" s="241"/>
      <c r="Q52" s="241"/>
      <c r="R52" s="241"/>
      <c r="S52" s="66"/>
      <c r="T52" s="66"/>
      <c r="U52" s="66"/>
      <c r="V52" s="66"/>
    </row>
    <row r="53" spans="1:22" x14ac:dyDescent="0.25">
      <c r="A53" s="66"/>
      <c r="B53" s="71"/>
      <c r="C53" s="66"/>
      <c r="D53" s="66"/>
      <c r="E53" s="66"/>
      <c r="F53" s="66"/>
      <c r="G53" s="66"/>
      <c r="H53" s="66"/>
      <c r="I53" s="66"/>
      <c r="J53" s="241"/>
      <c r="K53" s="241"/>
      <c r="L53" s="241"/>
      <c r="M53" s="241"/>
      <c r="N53" s="241"/>
      <c r="O53" s="241"/>
      <c r="P53" s="241"/>
      <c r="Q53" s="241"/>
      <c r="R53" s="241"/>
      <c r="S53" s="66"/>
      <c r="T53" s="66"/>
      <c r="U53" s="66"/>
      <c r="V53" s="66"/>
    </row>
    <row r="54" spans="1:22" hidden="1" x14ac:dyDescent="0.25">
      <c r="A54" s="66"/>
      <c r="B54" s="71"/>
      <c r="C54" s="66"/>
      <c r="D54" s="66"/>
      <c r="E54" s="66"/>
      <c r="F54" s="66"/>
      <c r="G54" s="66"/>
      <c r="H54" s="66"/>
      <c r="I54" s="66"/>
      <c r="J54" s="241"/>
      <c r="K54" s="241"/>
      <c r="L54" s="241"/>
      <c r="M54" s="241"/>
      <c r="N54" s="241"/>
      <c r="O54" s="241"/>
      <c r="P54" s="241"/>
      <c r="Q54" s="241"/>
      <c r="R54" s="241"/>
      <c r="S54" s="66"/>
      <c r="T54" s="66"/>
      <c r="U54" s="66"/>
      <c r="V54" s="66"/>
    </row>
    <row r="55" spans="1:22" hidden="1" x14ac:dyDescent="0.25">
      <c r="A55" s="66"/>
      <c r="B55" s="71"/>
      <c r="C55" s="66"/>
      <c r="D55" s="66"/>
      <c r="E55" s="66"/>
      <c r="F55" s="66"/>
      <c r="G55" s="66"/>
      <c r="H55" s="66"/>
      <c r="I55" s="66"/>
      <c r="J55" s="241"/>
      <c r="K55" s="241"/>
      <c r="L55" s="241"/>
      <c r="M55" s="241"/>
      <c r="N55" s="241"/>
      <c r="O55" s="241"/>
      <c r="P55" s="241"/>
      <c r="Q55" s="241"/>
      <c r="R55" s="241"/>
      <c r="S55" s="66"/>
      <c r="T55" s="66"/>
      <c r="U55" s="66"/>
      <c r="V55" s="66"/>
    </row>
    <row r="56" spans="1:22" hidden="1" x14ac:dyDescent="0.25">
      <c r="A56" s="66"/>
      <c r="B56" s="71"/>
      <c r="C56" s="66"/>
      <c r="D56" s="66"/>
      <c r="E56" s="66"/>
      <c r="F56" s="66"/>
      <c r="G56" s="66"/>
      <c r="H56" s="66"/>
      <c r="I56" s="66"/>
      <c r="J56" s="241"/>
      <c r="K56" s="241"/>
      <c r="L56" s="241"/>
      <c r="M56" s="241"/>
      <c r="N56" s="241"/>
      <c r="O56" s="241"/>
      <c r="P56" s="241"/>
      <c r="Q56" s="241"/>
      <c r="R56" s="241"/>
      <c r="S56" s="66"/>
      <c r="T56" s="66"/>
      <c r="U56" s="66"/>
      <c r="V56" s="66"/>
    </row>
    <row r="57" spans="1:22" hidden="1" x14ac:dyDescent="0.25">
      <c r="A57" s="66"/>
      <c r="B57" s="71"/>
      <c r="C57" s="66"/>
      <c r="D57" s="66"/>
      <c r="E57" s="66"/>
      <c r="F57" s="66"/>
      <c r="G57" s="66"/>
      <c r="H57" s="66"/>
      <c r="I57" s="66"/>
      <c r="J57" s="241"/>
      <c r="K57" s="241"/>
      <c r="L57" s="241"/>
      <c r="M57" s="241"/>
      <c r="N57" s="241"/>
      <c r="O57" s="241"/>
      <c r="P57" s="241"/>
      <c r="Q57" s="241"/>
      <c r="R57" s="241"/>
      <c r="S57" s="66"/>
      <c r="T57" s="66"/>
      <c r="U57" s="66"/>
      <c r="V57" s="66"/>
    </row>
    <row r="58" spans="1:22" hidden="1" x14ac:dyDescent="0.25">
      <c r="A58" s="66"/>
      <c r="B58" s="71"/>
      <c r="C58" s="66"/>
      <c r="D58" s="66"/>
      <c r="E58" s="66"/>
      <c r="F58" s="66"/>
      <c r="G58" s="66"/>
      <c r="H58" s="66"/>
      <c r="I58" s="66"/>
      <c r="J58" s="241"/>
      <c r="K58" s="241"/>
      <c r="L58" s="241"/>
      <c r="M58" s="241"/>
      <c r="N58" s="241"/>
      <c r="O58" s="241"/>
      <c r="P58" s="241"/>
      <c r="Q58" s="241"/>
      <c r="R58" s="241"/>
      <c r="S58" s="66"/>
      <c r="T58" s="66"/>
      <c r="U58" s="66"/>
      <c r="V58" s="66"/>
    </row>
    <row r="59" spans="1:22" hidden="1" x14ac:dyDescent="0.25">
      <c r="A59" s="66"/>
      <c r="B59" s="71"/>
      <c r="C59" s="66"/>
      <c r="D59" s="66"/>
      <c r="E59" s="66"/>
      <c r="F59" s="66"/>
      <c r="G59" s="66"/>
      <c r="H59" s="66"/>
      <c r="I59" s="66"/>
      <c r="J59" s="241"/>
      <c r="K59" s="241"/>
      <c r="L59" s="241"/>
      <c r="M59" s="241"/>
      <c r="N59" s="241"/>
      <c r="O59" s="241"/>
      <c r="P59" s="241"/>
      <c r="Q59" s="241"/>
      <c r="R59" s="241"/>
      <c r="S59" s="66"/>
      <c r="T59" s="66"/>
      <c r="U59" s="66"/>
      <c r="V59" s="66"/>
    </row>
    <row r="60" spans="1:22" hidden="1" x14ac:dyDescent="0.25">
      <c r="A60" s="66"/>
      <c r="B60" s="71"/>
      <c r="C60" s="66"/>
      <c r="D60" s="66"/>
      <c r="E60" s="66"/>
      <c r="F60" s="66"/>
      <c r="G60" s="66"/>
      <c r="H60" s="66"/>
      <c r="I60" s="66"/>
      <c r="J60" s="241"/>
      <c r="K60" s="241"/>
      <c r="L60" s="241"/>
      <c r="M60" s="241"/>
      <c r="N60" s="241"/>
      <c r="O60" s="241"/>
      <c r="P60" s="241"/>
      <c r="Q60" s="241"/>
      <c r="R60" s="241"/>
      <c r="S60" s="66"/>
      <c r="T60" s="66"/>
      <c r="U60" s="66"/>
      <c r="V60" s="66"/>
    </row>
    <row r="61" spans="1:22" hidden="1" x14ac:dyDescent="0.25">
      <c r="A61" s="66"/>
      <c r="B61" s="71"/>
      <c r="C61" s="66"/>
      <c r="D61" s="66"/>
      <c r="E61" s="66"/>
      <c r="F61" s="66"/>
      <c r="G61" s="66"/>
      <c r="H61" s="66"/>
      <c r="I61" s="66"/>
      <c r="J61" s="241"/>
      <c r="K61" s="241"/>
      <c r="L61" s="241"/>
      <c r="M61" s="241"/>
      <c r="N61" s="241"/>
      <c r="O61" s="241"/>
      <c r="P61" s="241"/>
      <c r="Q61" s="241"/>
      <c r="R61" s="241"/>
      <c r="S61" s="66"/>
      <c r="T61" s="66"/>
      <c r="U61" s="66"/>
      <c r="V61" s="66"/>
    </row>
    <row r="62" spans="1:22" hidden="1" x14ac:dyDescent="0.25">
      <c r="A62" s="66"/>
      <c r="B62" s="71"/>
      <c r="C62" s="66"/>
      <c r="D62" s="66"/>
      <c r="E62" s="66"/>
      <c r="F62" s="66"/>
      <c r="G62" s="66"/>
      <c r="H62" s="66"/>
      <c r="I62" s="66"/>
      <c r="J62" s="241"/>
      <c r="K62" s="241"/>
      <c r="L62" s="241"/>
      <c r="M62" s="241"/>
      <c r="N62" s="241"/>
      <c r="O62" s="241"/>
      <c r="P62" s="241"/>
      <c r="Q62" s="241"/>
      <c r="R62" s="241"/>
      <c r="S62" s="66"/>
      <c r="T62" s="66"/>
      <c r="U62" s="66"/>
      <c r="V62" s="66"/>
    </row>
    <row r="63" spans="1:22" hidden="1" x14ac:dyDescent="0.25">
      <c r="A63" s="66"/>
      <c r="B63" s="71"/>
      <c r="C63" s="66"/>
      <c r="D63" s="66"/>
      <c r="E63" s="66"/>
      <c r="F63" s="66"/>
      <c r="G63" s="66"/>
      <c r="H63" s="66"/>
      <c r="I63" s="66"/>
      <c r="J63" s="241"/>
      <c r="K63" s="241"/>
      <c r="L63" s="241"/>
      <c r="M63" s="241"/>
      <c r="N63" s="241"/>
      <c r="O63" s="241"/>
      <c r="P63" s="241"/>
      <c r="Q63" s="241"/>
      <c r="R63" s="241"/>
      <c r="S63" s="66"/>
      <c r="T63" s="66"/>
      <c r="U63" s="66"/>
      <c r="V63" s="66"/>
    </row>
    <row r="64" spans="1:22" hidden="1" x14ac:dyDescent="0.25">
      <c r="A64" s="66"/>
      <c r="B64" s="71"/>
      <c r="C64" s="66"/>
      <c r="D64" s="66"/>
      <c r="E64" s="66"/>
      <c r="F64" s="66"/>
      <c r="G64" s="66"/>
      <c r="H64" s="66"/>
      <c r="I64" s="66"/>
      <c r="J64" s="241"/>
      <c r="K64" s="241"/>
      <c r="L64" s="241"/>
      <c r="M64" s="241"/>
      <c r="N64" s="241"/>
      <c r="O64" s="241"/>
      <c r="P64" s="241"/>
      <c r="Q64" s="241"/>
      <c r="R64" s="241"/>
      <c r="S64" s="66"/>
      <c r="T64" s="66"/>
      <c r="U64" s="66"/>
      <c r="V64" s="66"/>
    </row>
    <row r="65" spans="1:22" hidden="1" x14ac:dyDescent="0.25">
      <c r="A65" s="66"/>
      <c r="B65" s="71"/>
      <c r="C65" s="66"/>
      <c r="D65" s="66"/>
      <c r="E65" s="66"/>
      <c r="F65" s="66"/>
      <c r="G65" s="66"/>
      <c r="H65" s="66"/>
      <c r="I65" s="66"/>
      <c r="J65" s="241"/>
      <c r="K65" s="241"/>
      <c r="L65" s="241"/>
      <c r="M65" s="241"/>
      <c r="N65" s="241"/>
      <c r="O65" s="241"/>
      <c r="P65" s="241"/>
      <c r="Q65" s="241"/>
      <c r="R65" s="241"/>
      <c r="S65" s="66"/>
      <c r="T65" s="66"/>
      <c r="U65" s="66"/>
      <c r="V65" s="66"/>
    </row>
    <row r="66" spans="1:22" hidden="1" x14ac:dyDescent="0.25">
      <c r="A66" s="66"/>
      <c r="B66" s="71"/>
      <c r="C66" s="66"/>
      <c r="D66" s="66"/>
      <c r="E66" s="66"/>
      <c r="F66" s="66"/>
      <c r="G66" s="66"/>
      <c r="H66" s="66"/>
      <c r="I66" s="66"/>
      <c r="J66" s="241"/>
      <c r="K66" s="241"/>
      <c r="L66" s="241"/>
      <c r="M66" s="241"/>
      <c r="N66" s="241"/>
      <c r="O66" s="241"/>
      <c r="P66" s="241"/>
      <c r="Q66" s="241"/>
      <c r="R66" s="241"/>
      <c r="S66" s="66"/>
      <c r="T66" s="66"/>
      <c r="U66" s="66"/>
      <c r="V66" s="66"/>
    </row>
    <row r="67" spans="1:22" hidden="1" x14ac:dyDescent="0.25">
      <c r="A67" s="66"/>
      <c r="B67" s="71"/>
      <c r="C67" s="66"/>
      <c r="D67" s="66"/>
      <c r="E67" s="66"/>
      <c r="F67" s="66"/>
      <c r="G67" s="66"/>
      <c r="H67" s="66"/>
      <c r="I67" s="66"/>
      <c r="J67" s="241"/>
      <c r="K67" s="241"/>
      <c r="L67" s="241"/>
      <c r="M67" s="241"/>
      <c r="N67" s="241"/>
      <c r="O67" s="241"/>
      <c r="P67" s="241"/>
      <c r="Q67" s="241"/>
      <c r="R67" s="241"/>
      <c r="S67" s="66"/>
      <c r="T67" s="66"/>
      <c r="U67" s="66"/>
      <c r="V67" s="66"/>
    </row>
    <row r="68" spans="1:22" hidden="1" x14ac:dyDescent="0.25">
      <c r="A68" s="66"/>
      <c r="B68" s="71"/>
      <c r="C68" s="66"/>
      <c r="D68" s="66"/>
      <c r="E68" s="66"/>
      <c r="F68" s="66"/>
      <c r="G68" s="66"/>
      <c r="H68" s="66"/>
      <c r="I68" s="66"/>
      <c r="J68" s="241"/>
      <c r="K68" s="241"/>
      <c r="L68" s="241"/>
      <c r="M68" s="241"/>
      <c r="N68" s="241"/>
      <c r="O68" s="241"/>
      <c r="P68" s="241"/>
      <c r="Q68" s="241"/>
      <c r="R68" s="241"/>
      <c r="S68" s="66"/>
      <c r="T68" s="66"/>
      <c r="U68" s="66"/>
      <c r="V68" s="66"/>
    </row>
    <row r="69" spans="1:22" hidden="1" x14ac:dyDescent="0.25">
      <c r="A69" s="66"/>
      <c r="B69" s="71"/>
      <c r="C69" s="66"/>
      <c r="D69" s="66"/>
      <c r="E69" s="66"/>
      <c r="F69" s="66"/>
      <c r="G69" s="66"/>
      <c r="H69" s="66"/>
      <c r="I69" s="66"/>
      <c r="J69" s="241"/>
      <c r="K69" s="241"/>
      <c r="L69" s="241"/>
      <c r="M69" s="241"/>
      <c r="N69" s="241"/>
      <c r="O69" s="241"/>
      <c r="P69" s="241"/>
      <c r="Q69" s="241"/>
      <c r="R69" s="241"/>
      <c r="S69" s="66"/>
      <c r="T69" s="66"/>
      <c r="U69" s="66"/>
      <c r="V69" s="66"/>
    </row>
    <row r="70" spans="1:22" hidden="1" x14ac:dyDescent="0.25">
      <c r="A70" s="66"/>
      <c r="B70" s="71"/>
      <c r="C70" s="66"/>
      <c r="D70" s="66"/>
      <c r="E70" s="66"/>
      <c r="F70" s="66"/>
      <c r="G70" s="66"/>
      <c r="H70" s="66"/>
      <c r="I70" s="66"/>
      <c r="J70" s="241"/>
      <c r="K70" s="241"/>
      <c r="L70" s="241"/>
      <c r="M70" s="241"/>
      <c r="N70" s="241"/>
      <c r="O70" s="241"/>
      <c r="P70" s="241"/>
      <c r="Q70" s="241"/>
      <c r="R70" s="241"/>
      <c r="S70" s="66"/>
      <c r="T70" s="66"/>
      <c r="U70" s="66"/>
      <c r="V70" s="66"/>
    </row>
    <row r="71" spans="1:22" hidden="1" x14ac:dyDescent="0.25">
      <c r="A71" s="66"/>
      <c r="B71" s="71"/>
      <c r="C71" s="66"/>
      <c r="D71" s="66"/>
      <c r="E71" s="66"/>
      <c r="F71" s="66"/>
      <c r="G71" s="66"/>
      <c r="H71" s="66"/>
      <c r="I71" s="66"/>
      <c r="J71" s="241"/>
      <c r="K71" s="241"/>
      <c r="L71" s="241"/>
      <c r="M71" s="241"/>
      <c r="N71" s="241"/>
      <c r="O71" s="241"/>
      <c r="P71" s="241"/>
      <c r="Q71" s="241"/>
      <c r="R71" s="241"/>
      <c r="S71" s="66"/>
      <c r="T71" s="66"/>
      <c r="U71" s="66"/>
      <c r="V71" s="66"/>
    </row>
    <row r="72" spans="1:22" hidden="1" x14ac:dyDescent="0.25">
      <c r="A72" s="66"/>
      <c r="B72" s="71"/>
      <c r="C72" s="66"/>
      <c r="D72" s="66"/>
      <c r="E72" s="66"/>
      <c r="F72" s="66"/>
      <c r="G72" s="66"/>
      <c r="H72" s="66"/>
      <c r="I72" s="66"/>
      <c r="J72" s="241"/>
      <c r="K72" s="241"/>
      <c r="L72" s="241"/>
      <c r="M72" s="241"/>
      <c r="N72" s="241"/>
      <c r="O72" s="241"/>
      <c r="P72" s="241"/>
      <c r="Q72" s="241"/>
      <c r="R72" s="241"/>
      <c r="S72" s="66"/>
      <c r="T72" s="66"/>
      <c r="U72" s="66"/>
      <c r="V72" s="66"/>
    </row>
    <row r="73" spans="1:22" hidden="1" x14ac:dyDescent="0.25">
      <c r="A73" s="66"/>
      <c r="B73" s="71"/>
      <c r="C73" s="66"/>
      <c r="D73" s="66"/>
      <c r="E73" s="66"/>
      <c r="F73" s="66"/>
      <c r="G73" s="66"/>
      <c r="H73" s="66"/>
      <c r="I73" s="66"/>
      <c r="J73" s="241"/>
      <c r="K73" s="241"/>
      <c r="L73" s="241"/>
      <c r="M73" s="241"/>
      <c r="N73" s="241"/>
      <c r="O73" s="241"/>
      <c r="P73" s="241"/>
      <c r="Q73" s="241"/>
      <c r="R73" s="241"/>
      <c r="S73" s="66"/>
      <c r="T73" s="66"/>
      <c r="U73" s="66"/>
      <c r="V73" s="66"/>
    </row>
    <row r="74" spans="1:22" hidden="1" x14ac:dyDescent="0.25">
      <c r="A74" s="66"/>
      <c r="B74" s="71"/>
      <c r="C74" s="66"/>
      <c r="D74" s="66"/>
      <c r="E74" s="66"/>
      <c r="F74" s="66"/>
      <c r="G74" s="66"/>
      <c r="H74" s="66"/>
      <c r="I74" s="66"/>
      <c r="J74" s="241"/>
      <c r="K74" s="241"/>
      <c r="L74" s="241"/>
      <c r="M74" s="241"/>
      <c r="N74" s="241"/>
      <c r="O74" s="241"/>
      <c r="P74" s="241"/>
      <c r="Q74" s="241"/>
      <c r="R74" s="241"/>
      <c r="S74" s="66"/>
      <c r="T74" s="66"/>
      <c r="U74" s="66"/>
      <c r="V74" s="66"/>
    </row>
    <row r="75" spans="1:22" hidden="1" x14ac:dyDescent="0.25">
      <c r="A75" s="66"/>
      <c r="B75" s="71"/>
      <c r="C75" s="66"/>
      <c r="D75" s="66"/>
      <c r="E75" s="66"/>
      <c r="F75" s="66"/>
      <c r="G75" s="66"/>
      <c r="H75" s="66"/>
      <c r="I75" s="66"/>
      <c r="J75" s="241"/>
      <c r="K75" s="241"/>
      <c r="L75" s="241"/>
      <c r="M75" s="241"/>
      <c r="N75" s="241"/>
      <c r="O75" s="241"/>
      <c r="P75" s="241"/>
      <c r="Q75" s="241"/>
      <c r="R75" s="241"/>
      <c r="S75" s="66"/>
      <c r="T75" s="66"/>
      <c r="U75" s="66"/>
      <c r="V75" s="66"/>
    </row>
    <row r="76" spans="1:22" hidden="1" x14ac:dyDescent="0.25">
      <c r="A76" s="66"/>
      <c r="B76" s="71"/>
      <c r="C76" s="66"/>
      <c r="D76" s="66"/>
      <c r="E76" s="66"/>
      <c r="F76" s="66"/>
      <c r="G76" s="66"/>
      <c r="H76" s="66"/>
      <c r="I76" s="66"/>
      <c r="J76" s="241"/>
      <c r="K76" s="241"/>
      <c r="L76" s="241"/>
      <c r="M76" s="241"/>
      <c r="N76" s="241"/>
      <c r="O76" s="241"/>
      <c r="P76" s="241"/>
      <c r="Q76" s="241"/>
      <c r="R76" s="241"/>
      <c r="S76" s="66"/>
      <c r="T76" s="66"/>
      <c r="U76" s="66"/>
      <c r="V76" s="66"/>
    </row>
    <row r="77" spans="1:22" hidden="1" x14ac:dyDescent="0.25">
      <c r="A77" s="66"/>
      <c r="B77" s="71"/>
      <c r="C77" s="66"/>
      <c r="D77" s="66"/>
      <c r="E77" s="66"/>
      <c r="F77" s="66"/>
      <c r="G77" s="66"/>
      <c r="H77" s="66"/>
      <c r="I77" s="66"/>
      <c r="J77" s="241"/>
      <c r="K77" s="241"/>
      <c r="L77" s="241"/>
      <c r="M77" s="241"/>
      <c r="N77" s="241"/>
      <c r="O77" s="241"/>
      <c r="P77" s="241"/>
      <c r="Q77" s="241"/>
      <c r="R77" s="241"/>
      <c r="S77" s="66"/>
      <c r="T77" s="66"/>
      <c r="U77" s="66"/>
      <c r="V77" s="66"/>
    </row>
    <row r="78" spans="1:22" hidden="1" x14ac:dyDescent="0.25">
      <c r="A78" s="66"/>
      <c r="B78" s="71"/>
      <c r="C78" s="66"/>
      <c r="D78" s="66"/>
      <c r="E78" s="66"/>
      <c r="F78" s="66"/>
      <c r="G78" s="66"/>
      <c r="H78" s="66"/>
      <c r="I78" s="66"/>
      <c r="J78" s="241"/>
      <c r="K78" s="241"/>
      <c r="L78" s="241"/>
      <c r="M78" s="241"/>
      <c r="N78" s="241"/>
      <c r="O78" s="241"/>
      <c r="P78" s="241"/>
      <c r="Q78" s="241"/>
      <c r="R78" s="241"/>
      <c r="S78" s="66"/>
      <c r="T78" s="66"/>
      <c r="U78" s="66"/>
      <c r="V78" s="66"/>
    </row>
    <row r="79" spans="1:22" hidden="1" x14ac:dyDescent="0.25">
      <c r="A79" s="66"/>
      <c r="B79" s="71"/>
      <c r="C79" s="66"/>
      <c r="D79" s="66"/>
      <c r="E79" s="66"/>
      <c r="F79" s="66"/>
      <c r="G79" s="66"/>
      <c r="H79" s="66"/>
      <c r="I79" s="66"/>
      <c r="J79" s="241"/>
      <c r="K79" s="241"/>
      <c r="L79" s="241"/>
      <c r="M79" s="241"/>
      <c r="N79" s="241"/>
      <c r="O79" s="241"/>
      <c r="P79" s="241"/>
      <c r="Q79" s="241"/>
      <c r="R79" s="241"/>
      <c r="S79" s="66"/>
      <c r="T79" s="66"/>
      <c r="U79" s="66"/>
      <c r="V79" s="66"/>
    </row>
    <row r="80" spans="1:22" hidden="1" x14ac:dyDescent="0.25">
      <c r="A80" s="66"/>
      <c r="B80" s="71"/>
      <c r="C80" s="66"/>
      <c r="D80" s="66"/>
      <c r="E80" s="66"/>
      <c r="F80" s="66"/>
      <c r="G80" s="66"/>
      <c r="H80" s="66"/>
      <c r="I80" s="66"/>
      <c r="J80" s="241"/>
      <c r="K80" s="241"/>
      <c r="L80" s="241"/>
      <c r="M80" s="241"/>
      <c r="N80" s="241"/>
      <c r="O80" s="241"/>
      <c r="P80" s="241"/>
      <c r="Q80" s="241"/>
      <c r="R80" s="241"/>
      <c r="S80" s="66"/>
      <c r="T80" s="66"/>
      <c r="U80" s="66"/>
      <c r="V80" s="66"/>
    </row>
    <row r="81" spans="1:22" hidden="1" x14ac:dyDescent="0.25">
      <c r="A81" s="66"/>
      <c r="B81" s="71"/>
      <c r="C81" s="66"/>
      <c r="D81" s="66"/>
      <c r="E81" s="66"/>
      <c r="F81" s="66"/>
      <c r="G81" s="66"/>
      <c r="H81" s="66"/>
      <c r="I81" s="66"/>
      <c r="J81" s="241"/>
      <c r="K81" s="241"/>
      <c r="L81" s="241"/>
      <c r="M81" s="241"/>
      <c r="N81" s="241"/>
      <c r="O81" s="241"/>
      <c r="P81" s="241"/>
      <c r="Q81" s="241"/>
      <c r="R81" s="241"/>
      <c r="S81" s="66"/>
      <c r="T81" s="66"/>
      <c r="U81" s="66"/>
      <c r="V81" s="66"/>
    </row>
    <row r="82" spans="1:22" hidden="1" x14ac:dyDescent="0.25">
      <c r="A82" s="66"/>
      <c r="B82" s="71"/>
      <c r="C82" s="66"/>
      <c r="D82" s="66"/>
      <c r="E82" s="66"/>
      <c r="F82" s="66"/>
      <c r="G82" s="66"/>
      <c r="H82" s="66"/>
      <c r="I82" s="66"/>
      <c r="J82" s="241"/>
      <c r="K82" s="241"/>
      <c r="L82" s="241"/>
      <c r="M82" s="241"/>
      <c r="N82" s="241"/>
      <c r="O82" s="241"/>
      <c r="P82" s="241"/>
      <c r="Q82" s="241"/>
      <c r="R82" s="241"/>
      <c r="S82" s="66"/>
      <c r="T82" s="66"/>
      <c r="U82" s="66"/>
      <c r="V82" s="66"/>
    </row>
    <row r="83" spans="1:22" hidden="1" x14ac:dyDescent="0.25">
      <c r="A83" s="66"/>
      <c r="B83" s="71"/>
      <c r="C83" s="66"/>
      <c r="D83" s="66"/>
      <c r="E83" s="66"/>
      <c r="F83" s="66"/>
      <c r="G83" s="66"/>
      <c r="H83" s="66"/>
      <c r="I83" s="66"/>
      <c r="J83" s="241"/>
      <c r="K83" s="241"/>
      <c r="L83" s="241"/>
      <c r="M83" s="241"/>
      <c r="N83" s="241"/>
      <c r="O83" s="241"/>
      <c r="P83" s="241"/>
      <c r="Q83" s="241"/>
      <c r="R83" s="241"/>
      <c r="S83" s="66"/>
      <c r="T83" s="66"/>
      <c r="U83" s="66"/>
      <c r="V83" s="66"/>
    </row>
    <row r="84" spans="1:22" hidden="1" x14ac:dyDescent="0.25">
      <c r="A84" s="66"/>
      <c r="B84" s="71"/>
      <c r="C84" s="66"/>
      <c r="D84" s="66"/>
      <c r="E84" s="66"/>
      <c r="F84" s="66"/>
      <c r="G84" s="66"/>
      <c r="H84" s="66"/>
      <c r="I84" s="66"/>
      <c r="J84" s="241"/>
      <c r="K84" s="241"/>
      <c r="L84" s="241"/>
      <c r="M84" s="241"/>
      <c r="N84" s="241"/>
      <c r="O84" s="241"/>
      <c r="P84" s="241"/>
      <c r="Q84" s="241"/>
      <c r="R84" s="241"/>
      <c r="S84" s="66"/>
      <c r="T84" s="66"/>
      <c r="U84" s="66"/>
      <c r="V84" s="66"/>
    </row>
    <row r="85" spans="1:22" hidden="1" x14ac:dyDescent="0.25">
      <c r="A85" s="66"/>
      <c r="B85" s="71"/>
      <c r="C85" s="66"/>
      <c r="D85" s="66"/>
      <c r="E85" s="66"/>
      <c r="F85" s="66"/>
      <c r="G85" s="66"/>
      <c r="H85" s="66"/>
      <c r="I85" s="66"/>
      <c r="J85" s="241"/>
      <c r="K85" s="241"/>
      <c r="L85" s="241"/>
      <c r="M85" s="241"/>
      <c r="N85" s="241"/>
      <c r="O85" s="241"/>
      <c r="P85" s="241"/>
      <c r="Q85" s="241"/>
      <c r="R85" s="241"/>
      <c r="S85" s="66"/>
      <c r="T85" s="66"/>
      <c r="U85" s="66"/>
      <c r="V85" s="66"/>
    </row>
    <row r="86" spans="1:22" hidden="1" x14ac:dyDescent="0.25">
      <c r="A86" s="66"/>
      <c r="B86" s="71"/>
      <c r="C86" s="66"/>
      <c r="D86" s="66"/>
      <c r="E86" s="66"/>
      <c r="F86" s="66"/>
      <c r="G86" s="66"/>
      <c r="H86" s="66"/>
      <c r="I86" s="66"/>
      <c r="J86" s="241"/>
      <c r="K86" s="241"/>
      <c r="L86" s="241"/>
      <c r="M86" s="241"/>
      <c r="N86" s="241"/>
      <c r="O86" s="241"/>
      <c r="P86" s="241"/>
      <c r="Q86" s="241"/>
      <c r="R86" s="241"/>
      <c r="S86" s="66"/>
      <c r="T86" s="66"/>
      <c r="U86" s="66"/>
      <c r="V86" s="66"/>
    </row>
    <row r="87" spans="1:22" hidden="1" x14ac:dyDescent="0.25">
      <c r="A87" s="66"/>
      <c r="B87" s="71"/>
      <c r="C87" s="66"/>
      <c r="D87" s="66"/>
      <c r="E87" s="66"/>
      <c r="F87" s="66"/>
      <c r="G87" s="66"/>
      <c r="H87" s="66"/>
      <c r="I87" s="66"/>
      <c r="J87" s="241"/>
      <c r="K87" s="241"/>
      <c r="L87" s="241"/>
      <c r="M87" s="241"/>
      <c r="N87" s="241"/>
      <c r="O87" s="241"/>
      <c r="P87" s="241"/>
      <c r="Q87" s="241"/>
      <c r="R87" s="241"/>
      <c r="S87" s="66"/>
      <c r="T87" s="66"/>
      <c r="U87" s="66"/>
      <c r="V87" s="66"/>
    </row>
    <row r="88" spans="1:22" hidden="1" x14ac:dyDescent="0.25">
      <c r="A88" s="66"/>
      <c r="B88" s="71"/>
      <c r="C88" s="66"/>
      <c r="D88" s="66"/>
      <c r="E88" s="66"/>
      <c r="F88" s="66"/>
      <c r="G88" s="66"/>
      <c r="H88" s="66"/>
      <c r="I88" s="66"/>
      <c r="J88" s="241"/>
      <c r="K88" s="241"/>
      <c r="L88" s="241"/>
      <c r="M88" s="241"/>
      <c r="N88" s="241"/>
      <c r="O88" s="241"/>
      <c r="P88" s="241"/>
      <c r="Q88" s="241"/>
      <c r="R88" s="241"/>
      <c r="S88" s="66"/>
      <c r="T88" s="66"/>
      <c r="U88" s="66"/>
      <c r="V88" s="66"/>
    </row>
    <row r="89" spans="1:22" hidden="1" x14ac:dyDescent="0.25">
      <c r="A89" s="66"/>
      <c r="B89" s="71"/>
      <c r="C89" s="66"/>
      <c r="D89" s="66"/>
      <c r="E89" s="66"/>
      <c r="F89" s="66"/>
      <c r="G89" s="66"/>
      <c r="H89" s="66"/>
      <c r="I89" s="66"/>
      <c r="J89" s="241"/>
      <c r="K89" s="241"/>
      <c r="L89" s="241"/>
      <c r="M89" s="241"/>
      <c r="N89" s="241"/>
      <c r="O89" s="241"/>
      <c r="P89" s="241"/>
      <c r="Q89" s="241"/>
      <c r="R89" s="241"/>
      <c r="S89" s="66"/>
      <c r="T89" s="66"/>
      <c r="U89" s="66"/>
      <c r="V89" s="66"/>
    </row>
    <row r="90" spans="1:22" hidden="1" x14ac:dyDescent="0.25">
      <c r="A90" s="66"/>
      <c r="B90" s="71"/>
      <c r="C90" s="66"/>
      <c r="D90" s="66"/>
      <c r="E90" s="66"/>
      <c r="F90" s="66"/>
      <c r="G90" s="66"/>
      <c r="H90" s="66"/>
      <c r="I90" s="66"/>
      <c r="J90" s="241"/>
      <c r="K90" s="241"/>
      <c r="L90" s="241"/>
      <c r="M90" s="241"/>
      <c r="N90" s="241"/>
      <c r="O90" s="241"/>
      <c r="P90" s="241"/>
      <c r="Q90" s="241"/>
      <c r="R90" s="241"/>
      <c r="S90" s="66"/>
      <c r="T90" s="66"/>
      <c r="U90" s="66"/>
      <c r="V90" s="66"/>
    </row>
    <row r="91" spans="1:22" hidden="1" x14ac:dyDescent="0.25">
      <c r="A91" s="66"/>
      <c r="B91" s="71"/>
      <c r="C91" s="66"/>
      <c r="D91" s="66"/>
      <c r="E91" s="66"/>
      <c r="F91" s="66"/>
      <c r="G91" s="66"/>
      <c r="H91" s="66"/>
      <c r="I91" s="66"/>
      <c r="J91" s="241"/>
      <c r="K91" s="241"/>
      <c r="L91" s="241"/>
      <c r="M91" s="241"/>
      <c r="N91" s="241"/>
      <c r="O91" s="241"/>
      <c r="P91" s="241"/>
      <c r="Q91" s="241"/>
      <c r="R91" s="241"/>
      <c r="S91" s="66"/>
      <c r="T91" s="66"/>
      <c r="U91" s="66"/>
      <c r="V91" s="66"/>
    </row>
    <row r="92" spans="1:22" hidden="1" x14ac:dyDescent="0.25">
      <c r="A92" s="66"/>
      <c r="B92" s="71"/>
      <c r="C92" s="66"/>
      <c r="D92" s="66"/>
      <c r="E92" s="66"/>
      <c r="F92" s="66"/>
      <c r="G92" s="66"/>
      <c r="H92" s="66"/>
      <c r="I92" s="66"/>
      <c r="J92" s="241"/>
      <c r="K92" s="241"/>
      <c r="L92" s="241"/>
      <c r="M92" s="241"/>
      <c r="N92" s="241"/>
      <c r="O92" s="241"/>
      <c r="P92" s="241"/>
      <c r="Q92" s="241"/>
      <c r="R92" s="241"/>
      <c r="S92" s="66"/>
      <c r="T92" s="66"/>
      <c r="U92" s="66"/>
      <c r="V92" s="66"/>
    </row>
    <row r="93" spans="1:22" hidden="1" x14ac:dyDescent="0.25">
      <c r="A93" s="66"/>
      <c r="B93" s="71"/>
      <c r="C93" s="66"/>
      <c r="D93" s="66"/>
      <c r="E93" s="66"/>
      <c r="F93" s="66"/>
      <c r="G93" s="66"/>
      <c r="H93" s="66"/>
      <c r="I93" s="66"/>
      <c r="J93" s="241"/>
      <c r="K93" s="241"/>
      <c r="L93" s="241"/>
      <c r="M93" s="241"/>
      <c r="N93" s="241"/>
      <c r="O93" s="241"/>
      <c r="P93" s="241"/>
      <c r="Q93" s="241"/>
      <c r="R93" s="241"/>
      <c r="S93" s="66"/>
      <c r="T93" s="66"/>
      <c r="U93" s="66"/>
      <c r="V93" s="66"/>
    </row>
    <row r="94" spans="1:22" hidden="1" x14ac:dyDescent="0.25">
      <c r="A94" s="66"/>
      <c r="B94" s="71"/>
      <c r="C94" s="66"/>
      <c r="D94" s="66"/>
      <c r="E94" s="66"/>
      <c r="F94" s="66"/>
      <c r="G94" s="66"/>
      <c r="H94" s="66"/>
      <c r="I94" s="66"/>
      <c r="J94" s="241"/>
      <c r="K94" s="241"/>
      <c r="L94" s="241"/>
      <c r="M94" s="241"/>
      <c r="N94" s="241"/>
      <c r="O94" s="241"/>
      <c r="P94" s="241"/>
      <c r="Q94" s="241"/>
      <c r="R94" s="241"/>
      <c r="S94" s="66"/>
      <c r="T94" s="66"/>
      <c r="U94" s="66"/>
      <c r="V94" s="66"/>
    </row>
    <row r="95" spans="1:22" hidden="1" x14ac:dyDescent="0.25">
      <c r="A95" s="66"/>
      <c r="B95" s="71"/>
      <c r="C95" s="66"/>
      <c r="D95" s="66"/>
      <c r="E95" s="66"/>
      <c r="F95" s="66"/>
      <c r="G95" s="66"/>
      <c r="H95" s="66"/>
      <c r="I95" s="66"/>
      <c r="J95" s="241"/>
      <c r="K95" s="241"/>
      <c r="L95" s="241"/>
      <c r="M95" s="241"/>
      <c r="N95" s="241"/>
      <c r="O95" s="241"/>
      <c r="P95" s="241"/>
      <c r="Q95" s="241"/>
      <c r="R95" s="241"/>
      <c r="S95" s="66"/>
      <c r="T95" s="66"/>
      <c r="U95" s="66"/>
      <c r="V95" s="66"/>
    </row>
    <row r="96" spans="1:22" hidden="1" x14ac:dyDescent="0.25">
      <c r="A96" s="66"/>
      <c r="B96" s="71"/>
      <c r="C96" s="66"/>
      <c r="D96" s="66"/>
      <c r="E96" s="66"/>
      <c r="F96" s="66"/>
      <c r="G96" s="66"/>
      <c r="H96" s="66"/>
      <c r="I96" s="66"/>
      <c r="J96" s="241"/>
      <c r="K96" s="241"/>
      <c r="L96" s="241"/>
      <c r="M96" s="241"/>
      <c r="N96" s="241"/>
      <c r="O96" s="241"/>
      <c r="P96" s="241"/>
      <c r="Q96" s="241"/>
      <c r="R96" s="241"/>
      <c r="S96" s="66"/>
      <c r="T96" s="66"/>
      <c r="U96" s="66"/>
      <c r="V96" s="66"/>
    </row>
    <row r="97" spans="1:22" hidden="1" x14ac:dyDescent="0.25">
      <c r="A97" s="66"/>
      <c r="B97" s="71"/>
      <c r="C97" s="66"/>
      <c r="D97" s="66"/>
      <c r="E97" s="66"/>
      <c r="F97" s="66"/>
      <c r="G97" s="66"/>
      <c r="H97" s="66"/>
      <c r="I97" s="66"/>
      <c r="J97" s="241"/>
      <c r="K97" s="241"/>
      <c r="L97" s="241"/>
      <c r="M97" s="241"/>
      <c r="N97" s="241"/>
      <c r="O97" s="241"/>
      <c r="P97" s="241"/>
      <c r="Q97" s="241"/>
      <c r="R97" s="241"/>
      <c r="S97" s="66"/>
      <c r="T97" s="66"/>
      <c r="U97" s="66"/>
      <c r="V97" s="66"/>
    </row>
    <row r="98" spans="1:22" hidden="1" x14ac:dyDescent="0.25">
      <c r="A98" s="66"/>
      <c r="B98" s="71"/>
      <c r="C98" s="66"/>
      <c r="D98" s="66"/>
      <c r="E98" s="66"/>
      <c r="F98" s="66"/>
      <c r="G98" s="66"/>
      <c r="H98" s="66"/>
      <c r="I98" s="66"/>
      <c r="J98" s="241"/>
      <c r="K98" s="241"/>
      <c r="L98" s="241"/>
      <c r="M98" s="241"/>
      <c r="N98" s="241"/>
      <c r="O98" s="241"/>
      <c r="P98" s="241"/>
      <c r="Q98" s="241"/>
      <c r="R98" s="241"/>
      <c r="S98" s="66"/>
      <c r="T98" s="66"/>
      <c r="U98" s="66"/>
      <c r="V98" s="66"/>
    </row>
    <row r="99" spans="1:22" hidden="1" x14ac:dyDescent="0.25">
      <c r="A99" s="66"/>
      <c r="B99" s="71"/>
      <c r="C99" s="66"/>
      <c r="D99" s="66"/>
      <c r="E99" s="66"/>
      <c r="F99" s="66"/>
      <c r="G99" s="66"/>
      <c r="H99" s="66"/>
      <c r="I99" s="66"/>
      <c r="J99" s="241"/>
      <c r="K99" s="241"/>
      <c r="L99" s="241"/>
      <c r="M99" s="241"/>
      <c r="N99" s="241"/>
      <c r="O99" s="241"/>
      <c r="P99" s="241"/>
      <c r="Q99" s="241"/>
      <c r="R99" s="241"/>
      <c r="S99" s="66"/>
      <c r="T99" s="66"/>
      <c r="U99" s="66"/>
      <c r="V99" s="66"/>
    </row>
    <row r="100" spans="1:22" hidden="1" x14ac:dyDescent="0.25">
      <c r="A100" s="66"/>
      <c r="B100" s="71"/>
      <c r="C100" s="66"/>
      <c r="D100" s="66"/>
      <c r="E100" s="66"/>
      <c r="F100" s="66"/>
      <c r="G100" s="66"/>
      <c r="H100" s="66"/>
      <c r="I100" s="66"/>
      <c r="J100" s="241"/>
      <c r="K100" s="241"/>
      <c r="L100" s="241"/>
      <c r="M100" s="241"/>
      <c r="N100" s="241"/>
      <c r="O100" s="241"/>
      <c r="P100" s="241"/>
      <c r="Q100" s="241"/>
      <c r="R100" s="241"/>
      <c r="S100" s="66"/>
      <c r="T100" s="66"/>
      <c r="U100" s="66"/>
      <c r="V100" s="66"/>
    </row>
    <row r="101" spans="1:22" hidden="1" x14ac:dyDescent="0.25">
      <c r="A101" s="66"/>
      <c r="B101" s="71"/>
      <c r="C101" s="66"/>
      <c r="D101" s="66"/>
      <c r="E101" s="66"/>
      <c r="F101" s="66"/>
      <c r="G101" s="66"/>
      <c r="H101" s="66"/>
      <c r="I101" s="66"/>
      <c r="J101" s="241"/>
      <c r="K101" s="241"/>
      <c r="L101" s="241"/>
      <c r="M101" s="241"/>
      <c r="N101" s="241"/>
      <c r="O101" s="241"/>
      <c r="P101" s="241"/>
      <c r="Q101" s="241"/>
      <c r="R101" s="241"/>
      <c r="S101" s="66"/>
      <c r="T101" s="66"/>
      <c r="U101" s="66"/>
      <c r="V101" s="66"/>
    </row>
    <row r="102" spans="1:22" hidden="1" x14ac:dyDescent="0.25">
      <c r="A102" s="66"/>
      <c r="B102" s="71"/>
      <c r="C102" s="66"/>
      <c r="D102" s="66"/>
      <c r="E102" s="66"/>
      <c r="F102" s="66"/>
      <c r="G102" s="66"/>
      <c r="H102" s="66"/>
      <c r="I102" s="66"/>
      <c r="J102" s="241"/>
      <c r="K102" s="241"/>
      <c r="L102" s="241"/>
      <c r="M102" s="241"/>
      <c r="N102" s="241"/>
      <c r="O102" s="241"/>
      <c r="P102" s="241"/>
      <c r="Q102" s="241"/>
      <c r="R102" s="241"/>
      <c r="S102" s="66"/>
      <c r="T102" s="66"/>
      <c r="U102" s="66"/>
      <c r="V102" s="66"/>
    </row>
    <row r="103" spans="1:22" hidden="1" x14ac:dyDescent="0.25">
      <c r="A103" s="66"/>
      <c r="B103" s="71"/>
      <c r="C103" s="66"/>
      <c r="D103" s="66"/>
      <c r="E103" s="66"/>
      <c r="F103" s="66"/>
      <c r="G103" s="66"/>
      <c r="H103" s="66"/>
      <c r="I103" s="66"/>
      <c r="J103" s="241"/>
      <c r="K103" s="241"/>
      <c r="L103" s="241"/>
      <c r="M103" s="241"/>
      <c r="N103" s="241"/>
      <c r="O103" s="241"/>
      <c r="P103" s="241"/>
      <c r="Q103" s="241"/>
      <c r="R103" s="241"/>
      <c r="S103" s="66"/>
      <c r="T103" s="66"/>
      <c r="U103" s="66"/>
      <c r="V103" s="66"/>
    </row>
    <row r="104" spans="1:22" hidden="1" x14ac:dyDescent="0.25">
      <c r="A104" s="66"/>
      <c r="B104" s="71"/>
      <c r="C104" s="66"/>
      <c r="D104" s="66"/>
      <c r="E104" s="66"/>
      <c r="F104" s="66"/>
      <c r="G104" s="66"/>
      <c r="H104" s="66"/>
      <c r="I104" s="66"/>
      <c r="J104" s="241"/>
      <c r="K104" s="241"/>
      <c r="L104" s="241"/>
      <c r="M104" s="241"/>
      <c r="N104" s="241"/>
      <c r="O104" s="241"/>
      <c r="P104" s="241"/>
      <c r="Q104" s="241"/>
      <c r="R104" s="241"/>
      <c r="S104" s="66"/>
      <c r="T104" s="66"/>
      <c r="U104" s="66"/>
      <c r="V104" s="66"/>
    </row>
    <row r="105" spans="1:22" hidden="1" x14ac:dyDescent="0.25">
      <c r="A105" s="66"/>
      <c r="B105" s="71"/>
      <c r="C105" s="66"/>
      <c r="D105" s="66"/>
      <c r="E105" s="66"/>
      <c r="F105" s="66"/>
      <c r="G105" s="66"/>
      <c r="H105" s="66"/>
      <c r="I105" s="66"/>
      <c r="J105" s="241"/>
      <c r="K105" s="241"/>
      <c r="L105" s="241"/>
      <c r="M105" s="241"/>
      <c r="N105" s="241"/>
      <c r="O105" s="241"/>
      <c r="P105" s="241"/>
      <c r="Q105" s="241"/>
      <c r="R105" s="241"/>
      <c r="S105" s="66"/>
      <c r="T105" s="66"/>
      <c r="U105" s="66"/>
      <c r="V105" s="66"/>
    </row>
    <row r="106" spans="1:22" hidden="1" x14ac:dyDescent="0.25">
      <c r="A106" s="66"/>
      <c r="B106" s="71"/>
      <c r="C106" s="66"/>
      <c r="D106" s="66"/>
      <c r="E106" s="66"/>
      <c r="F106" s="66"/>
      <c r="G106" s="66"/>
      <c r="H106" s="66"/>
      <c r="I106" s="66"/>
      <c r="J106" s="241"/>
      <c r="K106" s="241"/>
      <c r="L106" s="241"/>
      <c r="M106" s="241"/>
      <c r="N106" s="241"/>
      <c r="O106" s="241"/>
      <c r="P106" s="241"/>
      <c r="Q106" s="241"/>
      <c r="R106" s="241"/>
      <c r="S106" s="66"/>
      <c r="T106" s="66"/>
      <c r="U106" s="66"/>
      <c r="V106" s="66"/>
    </row>
    <row r="107" spans="1:22" hidden="1" x14ac:dyDescent="0.25">
      <c r="A107" s="66"/>
      <c r="B107" s="71"/>
      <c r="C107" s="66"/>
      <c r="D107" s="66"/>
      <c r="E107" s="66"/>
      <c r="F107" s="66"/>
      <c r="G107" s="66"/>
      <c r="H107" s="66"/>
      <c r="I107" s="66"/>
      <c r="J107" s="241"/>
      <c r="K107" s="241"/>
      <c r="L107" s="241"/>
      <c r="M107" s="241"/>
      <c r="N107" s="241"/>
      <c r="O107" s="241"/>
      <c r="P107" s="241"/>
      <c r="Q107" s="241"/>
      <c r="R107" s="241"/>
      <c r="S107" s="66"/>
      <c r="T107" s="66"/>
      <c r="U107" s="66"/>
      <c r="V107" s="66"/>
    </row>
    <row r="108" spans="1:22" hidden="1" x14ac:dyDescent="0.25">
      <c r="A108" s="66"/>
      <c r="B108" s="71"/>
      <c r="C108" s="66"/>
      <c r="D108" s="66"/>
      <c r="E108" s="66"/>
      <c r="F108" s="66"/>
      <c r="G108" s="66"/>
      <c r="H108" s="66"/>
      <c r="I108" s="66"/>
      <c r="J108" s="241"/>
      <c r="K108" s="241"/>
      <c r="L108" s="241"/>
      <c r="M108" s="241"/>
      <c r="N108" s="241"/>
      <c r="O108" s="241"/>
      <c r="P108" s="241"/>
      <c r="Q108" s="241"/>
      <c r="R108" s="241"/>
      <c r="S108" s="66"/>
      <c r="T108" s="66"/>
      <c r="U108" s="66"/>
      <c r="V108" s="66"/>
    </row>
    <row r="109" spans="1:22" hidden="1" x14ac:dyDescent="0.25">
      <c r="A109" s="66"/>
      <c r="B109" s="71"/>
      <c r="C109" s="66"/>
      <c r="D109" s="66"/>
      <c r="E109" s="66"/>
      <c r="F109" s="66"/>
      <c r="G109" s="66"/>
      <c r="H109" s="66"/>
      <c r="I109" s="66"/>
      <c r="J109" s="241"/>
      <c r="K109" s="241"/>
      <c r="L109" s="241"/>
      <c r="M109" s="241"/>
      <c r="N109" s="241"/>
      <c r="O109" s="241"/>
      <c r="P109" s="241"/>
      <c r="Q109" s="241"/>
      <c r="R109" s="241"/>
      <c r="S109" s="66"/>
      <c r="T109" s="66"/>
      <c r="U109" s="66"/>
      <c r="V109" s="66"/>
    </row>
    <row r="110" spans="1:22" hidden="1" x14ac:dyDescent="0.25">
      <c r="A110" s="66"/>
      <c r="B110" s="71"/>
      <c r="C110" s="66"/>
      <c r="D110" s="66"/>
      <c r="E110" s="66"/>
      <c r="F110" s="66"/>
      <c r="G110" s="66"/>
      <c r="H110" s="66"/>
      <c r="I110" s="66"/>
      <c r="J110" s="241"/>
      <c r="K110" s="241"/>
      <c r="L110" s="241"/>
      <c r="M110" s="241"/>
      <c r="N110" s="241"/>
      <c r="O110" s="241"/>
      <c r="P110" s="241"/>
      <c r="Q110" s="241"/>
      <c r="R110" s="241"/>
      <c r="S110" s="66"/>
      <c r="T110" s="66"/>
      <c r="U110" s="66"/>
      <c r="V110" s="66"/>
    </row>
    <row r="111" spans="1:22" hidden="1" x14ac:dyDescent="0.25">
      <c r="A111" s="66"/>
      <c r="B111" s="71"/>
      <c r="C111" s="66"/>
      <c r="D111" s="66"/>
      <c r="E111" s="66"/>
      <c r="F111" s="66"/>
      <c r="G111" s="66"/>
      <c r="H111" s="66"/>
      <c r="I111" s="66"/>
      <c r="J111" s="241"/>
      <c r="K111" s="241"/>
      <c r="L111" s="241"/>
      <c r="M111" s="241"/>
      <c r="N111" s="241"/>
      <c r="O111" s="241"/>
      <c r="P111" s="241"/>
      <c r="Q111" s="241"/>
      <c r="R111" s="241"/>
      <c r="S111" s="66"/>
      <c r="T111" s="66"/>
      <c r="U111" s="66"/>
      <c r="V111" s="66"/>
    </row>
    <row r="112" spans="1:22" hidden="1" x14ac:dyDescent="0.25">
      <c r="A112" s="66"/>
      <c r="B112" s="71"/>
      <c r="C112" s="66"/>
      <c r="D112" s="66"/>
      <c r="E112" s="66"/>
      <c r="F112" s="66"/>
      <c r="G112" s="66"/>
      <c r="H112" s="66"/>
      <c r="I112" s="66"/>
      <c r="J112" s="241"/>
      <c r="K112" s="241"/>
      <c r="L112" s="241"/>
      <c r="M112" s="241"/>
      <c r="N112" s="241"/>
      <c r="O112" s="241"/>
      <c r="P112" s="241"/>
      <c r="Q112" s="241"/>
      <c r="R112" s="241"/>
      <c r="S112" s="66"/>
      <c r="T112" s="66"/>
      <c r="U112" s="66"/>
      <c r="V112" s="66"/>
    </row>
    <row r="113" spans="1:22" hidden="1" x14ac:dyDescent="0.25">
      <c r="A113" s="66"/>
      <c r="B113" s="71"/>
      <c r="C113" s="66"/>
      <c r="D113" s="66"/>
      <c r="E113" s="66"/>
      <c r="F113" s="66"/>
      <c r="G113" s="66"/>
      <c r="H113" s="66"/>
      <c r="I113" s="66"/>
      <c r="J113" s="241"/>
      <c r="K113" s="241"/>
      <c r="L113" s="241"/>
      <c r="M113" s="241"/>
      <c r="N113" s="241"/>
      <c r="O113" s="241"/>
      <c r="P113" s="241"/>
      <c r="Q113" s="241"/>
      <c r="R113" s="241"/>
      <c r="S113" s="66"/>
      <c r="T113" s="66"/>
      <c r="U113" s="66"/>
      <c r="V113" s="66"/>
    </row>
    <row r="114" spans="1:22" hidden="1" x14ac:dyDescent="0.25">
      <c r="A114" s="66"/>
      <c r="B114" s="71"/>
      <c r="C114" s="66"/>
      <c r="D114" s="66"/>
      <c r="E114" s="66"/>
      <c r="F114" s="66"/>
      <c r="G114" s="66"/>
      <c r="H114" s="66"/>
      <c r="I114" s="66"/>
      <c r="J114" s="241"/>
      <c r="K114" s="241"/>
      <c r="L114" s="241"/>
      <c r="M114" s="241"/>
      <c r="N114" s="241"/>
      <c r="O114" s="241"/>
      <c r="P114" s="241"/>
      <c r="Q114" s="241"/>
      <c r="R114" s="241"/>
      <c r="S114" s="66"/>
      <c r="T114" s="66"/>
      <c r="U114" s="66"/>
      <c r="V114" s="66"/>
    </row>
    <row r="115" spans="1:22" hidden="1" x14ac:dyDescent="0.25">
      <c r="A115" s="66"/>
      <c r="B115" s="71"/>
      <c r="C115" s="66"/>
      <c r="D115" s="66"/>
      <c r="E115" s="66"/>
      <c r="F115" s="66"/>
      <c r="G115" s="66"/>
      <c r="H115" s="66"/>
      <c r="I115" s="66"/>
      <c r="J115" s="241"/>
      <c r="K115" s="241"/>
      <c r="L115" s="241"/>
      <c r="M115" s="241"/>
      <c r="N115" s="241"/>
      <c r="O115" s="241"/>
      <c r="P115" s="241"/>
      <c r="Q115" s="241"/>
      <c r="R115" s="241"/>
      <c r="S115" s="66"/>
      <c r="T115" s="66"/>
      <c r="U115" s="66"/>
      <c r="V115" s="66"/>
    </row>
    <row r="116" spans="1:22" hidden="1" x14ac:dyDescent="0.25">
      <c r="A116" s="66"/>
      <c r="B116" s="71"/>
      <c r="C116" s="66"/>
      <c r="D116" s="66"/>
      <c r="E116" s="66"/>
      <c r="F116" s="66"/>
      <c r="G116" s="66"/>
      <c r="H116" s="66"/>
      <c r="I116" s="66"/>
      <c r="J116" s="241"/>
      <c r="K116" s="241"/>
      <c r="L116" s="241"/>
      <c r="M116" s="241"/>
      <c r="N116" s="241"/>
      <c r="O116" s="241"/>
      <c r="P116" s="241"/>
      <c r="Q116" s="241"/>
      <c r="R116" s="241"/>
      <c r="S116" s="66"/>
      <c r="T116" s="66"/>
      <c r="U116" s="66"/>
      <c r="V116" s="66"/>
    </row>
    <row r="117" spans="1:22" hidden="1" x14ac:dyDescent="0.25">
      <c r="A117" s="66"/>
      <c r="B117" s="71"/>
      <c r="C117" s="66"/>
      <c r="D117" s="66"/>
      <c r="E117" s="66"/>
      <c r="F117" s="66"/>
      <c r="G117" s="66"/>
      <c r="H117" s="66"/>
      <c r="I117" s="66"/>
      <c r="J117" s="241"/>
      <c r="K117" s="241"/>
      <c r="L117" s="241"/>
      <c r="M117" s="241"/>
      <c r="N117" s="241"/>
      <c r="O117" s="241"/>
      <c r="P117" s="241"/>
      <c r="Q117" s="241"/>
      <c r="R117" s="241"/>
      <c r="S117" s="66"/>
      <c r="T117" s="66"/>
      <c r="U117" s="66"/>
      <c r="V117" s="66"/>
    </row>
    <row r="118" spans="1:22" hidden="1" x14ac:dyDescent="0.25">
      <c r="A118" s="66"/>
      <c r="B118" s="71"/>
      <c r="C118" s="66"/>
      <c r="D118" s="66"/>
      <c r="E118" s="66"/>
      <c r="F118" s="66"/>
      <c r="G118" s="66"/>
      <c r="H118" s="66"/>
      <c r="I118" s="66"/>
      <c r="J118" s="241"/>
      <c r="K118" s="241"/>
      <c r="L118" s="241"/>
      <c r="M118" s="241"/>
      <c r="N118" s="241"/>
      <c r="O118" s="241"/>
      <c r="P118" s="241"/>
      <c r="Q118" s="241"/>
      <c r="R118" s="241"/>
      <c r="S118" s="66"/>
      <c r="T118" s="66"/>
      <c r="U118" s="66"/>
      <c r="V118" s="66"/>
    </row>
    <row r="119" spans="1:22" hidden="1" x14ac:dyDescent="0.25">
      <c r="A119" s="66"/>
      <c r="B119" s="71"/>
      <c r="C119" s="66"/>
      <c r="D119" s="66"/>
      <c r="E119" s="66"/>
      <c r="F119" s="66"/>
      <c r="G119" s="66"/>
      <c r="H119" s="66"/>
      <c r="I119" s="66"/>
      <c r="J119" s="241"/>
      <c r="K119" s="241"/>
      <c r="L119" s="241"/>
      <c r="M119" s="241"/>
      <c r="N119" s="241"/>
      <c r="O119" s="241"/>
      <c r="P119" s="241"/>
      <c r="Q119" s="241"/>
      <c r="R119" s="241"/>
      <c r="S119" s="66"/>
      <c r="T119" s="66"/>
      <c r="U119" s="66"/>
      <c r="V119" s="66"/>
    </row>
    <row r="120" spans="1:22" hidden="1" x14ac:dyDescent="0.25">
      <c r="A120" s="66"/>
      <c r="B120" s="71"/>
      <c r="C120" s="66"/>
      <c r="D120" s="66"/>
      <c r="E120" s="66"/>
      <c r="F120" s="66"/>
      <c r="G120" s="66"/>
      <c r="H120" s="66"/>
      <c r="I120" s="66"/>
      <c r="J120" s="241"/>
      <c r="K120" s="241"/>
      <c r="L120" s="241"/>
      <c r="M120" s="241"/>
      <c r="N120" s="241"/>
      <c r="O120" s="241"/>
      <c r="P120" s="241"/>
      <c r="Q120" s="241"/>
      <c r="R120" s="241"/>
      <c r="S120" s="66"/>
      <c r="T120" s="66"/>
      <c r="U120" s="66"/>
      <c r="V120" s="66"/>
    </row>
    <row r="121" spans="1:22" hidden="1" x14ac:dyDescent="0.25">
      <c r="A121" s="66"/>
      <c r="B121" s="71"/>
      <c r="C121" s="66"/>
      <c r="D121" s="66"/>
      <c r="E121" s="66"/>
      <c r="F121" s="66"/>
      <c r="G121" s="66"/>
      <c r="H121" s="66"/>
      <c r="I121" s="66"/>
      <c r="J121" s="241"/>
      <c r="K121" s="241"/>
      <c r="L121" s="241"/>
      <c r="M121" s="241"/>
      <c r="N121" s="241"/>
      <c r="O121" s="241"/>
      <c r="P121" s="241"/>
      <c r="Q121" s="241"/>
      <c r="R121" s="241"/>
      <c r="S121" s="66"/>
      <c r="T121" s="66"/>
      <c r="U121" s="66"/>
      <c r="V121" s="66"/>
    </row>
    <row r="122" spans="1:22" hidden="1" x14ac:dyDescent="0.25">
      <c r="A122" s="66"/>
      <c r="B122" s="71"/>
      <c r="C122" s="66"/>
      <c r="D122" s="66"/>
      <c r="E122" s="66"/>
      <c r="F122" s="66"/>
      <c r="G122" s="66"/>
      <c r="H122" s="66"/>
      <c r="I122" s="66"/>
      <c r="J122" s="241"/>
      <c r="K122" s="241"/>
      <c r="L122" s="241"/>
      <c r="M122" s="241"/>
      <c r="N122" s="241"/>
      <c r="O122" s="241"/>
      <c r="P122" s="241"/>
      <c r="Q122" s="241"/>
      <c r="R122" s="241"/>
      <c r="S122" s="66"/>
      <c r="T122" s="66"/>
      <c r="U122" s="66"/>
      <c r="V122" s="66"/>
    </row>
    <row r="123" spans="1:22" hidden="1" x14ac:dyDescent="0.25">
      <c r="A123" s="66"/>
      <c r="B123" s="71"/>
      <c r="C123" s="66"/>
      <c r="D123" s="66"/>
      <c r="E123" s="66"/>
      <c r="F123" s="66"/>
      <c r="G123" s="66"/>
      <c r="H123" s="66"/>
      <c r="I123" s="66"/>
      <c r="J123" s="241"/>
      <c r="K123" s="241"/>
      <c r="L123" s="241"/>
      <c r="M123" s="241"/>
      <c r="N123" s="241"/>
      <c r="O123" s="241"/>
      <c r="P123" s="241"/>
      <c r="Q123" s="241"/>
      <c r="R123" s="241"/>
      <c r="S123" s="66"/>
      <c r="T123" s="66"/>
      <c r="U123" s="66"/>
      <c r="V123" s="66"/>
    </row>
    <row r="124" spans="1:22" hidden="1" x14ac:dyDescent="0.25">
      <c r="A124" s="66"/>
      <c r="B124" s="71"/>
      <c r="C124" s="66"/>
      <c r="D124" s="66"/>
      <c r="E124" s="66"/>
      <c r="F124" s="66"/>
      <c r="G124" s="66"/>
      <c r="H124" s="66"/>
      <c r="I124" s="66"/>
      <c r="J124" s="241"/>
      <c r="K124" s="241"/>
      <c r="L124" s="241"/>
      <c r="M124" s="241"/>
      <c r="N124" s="241"/>
      <c r="O124" s="241"/>
      <c r="P124" s="241"/>
      <c r="Q124" s="241"/>
      <c r="R124" s="241"/>
      <c r="S124" s="66"/>
      <c r="T124" s="66"/>
      <c r="U124" s="66"/>
      <c r="V124" s="66"/>
    </row>
    <row r="125" spans="1:22" hidden="1" x14ac:dyDescent="0.25">
      <c r="A125" s="66"/>
      <c r="B125" s="71"/>
      <c r="C125" s="66"/>
      <c r="D125" s="66"/>
      <c r="E125" s="66"/>
      <c r="F125" s="66"/>
      <c r="G125" s="66"/>
      <c r="H125" s="66"/>
      <c r="I125" s="66"/>
      <c r="J125" s="241"/>
      <c r="K125" s="241"/>
      <c r="L125" s="241"/>
      <c r="M125" s="241"/>
      <c r="N125" s="241"/>
      <c r="O125" s="241"/>
      <c r="P125" s="241"/>
      <c r="Q125" s="241"/>
      <c r="R125" s="241"/>
      <c r="S125" s="66"/>
      <c r="T125" s="66"/>
      <c r="U125" s="66"/>
      <c r="V125" s="66"/>
    </row>
    <row r="126" spans="1:22" hidden="1" x14ac:dyDescent="0.25">
      <c r="A126" s="66"/>
      <c r="B126" s="71"/>
      <c r="C126" s="66"/>
      <c r="D126" s="66"/>
      <c r="E126" s="66"/>
      <c r="F126" s="66"/>
      <c r="G126" s="66"/>
      <c r="H126" s="66"/>
      <c r="I126" s="66"/>
      <c r="J126" s="241"/>
      <c r="K126" s="241"/>
      <c r="L126" s="241"/>
      <c r="M126" s="241"/>
      <c r="N126" s="241"/>
      <c r="O126" s="241"/>
      <c r="P126" s="241"/>
      <c r="Q126" s="241"/>
      <c r="R126" s="241"/>
      <c r="S126" s="66"/>
      <c r="T126" s="66"/>
      <c r="U126" s="66"/>
      <c r="V126" s="66"/>
    </row>
    <row r="127" spans="1:22" hidden="1" x14ac:dyDescent="0.25">
      <c r="A127" s="66"/>
      <c r="B127" s="71"/>
      <c r="C127" s="66"/>
      <c r="D127" s="66"/>
      <c r="E127" s="66"/>
      <c r="F127" s="66"/>
      <c r="G127" s="66"/>
      <c r="H127" s="66"/>
      <c r="I127" s="66"/>
      <c r="J127" s="241"/>
      <c r="K127" s="241"/>
      <c r="L127" s="241"/>
      <c r="M127" s="241"/>
      <c r="N127" s="241"/>
      <c r="O127" s="241"/>
      <c r="P127" s="241"/>
      <c r="Q127" s="241"/>
      <c r="R127" s="241"/>
      <c r="S127" s="66"/>
      <c r="T127" s="66"/>
      <c r="U127" s="66"/>
      <c r="V127" s="66"/>
    </row>
    <row r="128" spans="1:22" hidden="1" x14ac:dyDescent="0.25">
      <c r="A128" s="66"/>
      <c r="B128" s="71"/>
      <c r="C128" s="66"/>
      <c r="D128" s="66"/>
      <c r="E128" s="66"/>
      <c r="F128" s="66"/>
      <c r="G128" s="66"/>
      <c r="H128" s="66"/>
      <c r="I128" s="66"/>
      <c r="J128" s="241"/>
      <c r="K128" s="241"/>
      <c r="L128" s="241"/>
      <c r="M128" s="241"/>
      <c r="N128" s="241"/>
      <c r="O128" s="241"/>
      <c r="P128" s="241"/>
      <c r="Q128" s="241"/>
      <c r="R128" s="241"/>
      <c r="S128" s="66"/>
      <c r="T128" s="66"/>
      <c r="U128" s="66"/>
      <c r="V128" s="66"/>
    </row>
    <row r="129" spans="1:22" hidden="1" x14ac:dyDescent="0.25">
      <c r="A129" s="66"/>
      <c r="B129" s="71"/>
      <c r="C129" s="66"/>
      <c r="D129" s="66"/>
      <c r="E129" s="66"/>
      <c r="F129" s="66"/>
      <c r="G129" s="66"/>
      <c r="H129" s="66"/>
      <c r="I129" s="66"/>
      <c r="J129" s="241"/>
      <c r="K129" s="241"/>
      <c r="L129" s="241"/>
      <c r="M129" s="241"/>
      <c r="N129" s="241"/>
      <c r="O129" s="241"/>
      <c r="P129" s="241"/>
      <c r="Q129" s="241"/>
      <c r="R129" s="241"/>
      <c r="S129" s="66"/>
      <c r="T129" s="66"/>
      <c r="U129" s="66"/>
      <c r="V129" s="66"/>
    </row>
    <row r="130" spans="1:22" hidden="1" x14ac:dyDescent="0.25">
      <c r="A130" s="66"/>
      <c r="B130" s="71"/>
      <c r="C130" s="66"/>
      <c r="D130" s="66"/>
      <c r="E130" s="66"/>
      <c r="F130" s="66"/>
      <c r="G130" s="66"/>
      <c r="H130" s="66"/>
      <c r="I130" s="66"/>
      <c r="J130" s="241"/>
      <c r="K130" s="241"/>
      <c r="L130" s="241"/>
      <c r="M130" s="241"/>
      <c r="N130" s="241"/>
      <c r="O130" s="241"/>
      <c r="P130" s="241"/>
      <c r="Q130" s="241"/>
      <c r="R130" s="241"/>
      <c r="S130" s="66"/>
      <c r="T130" s="66"/>
      <c r="U130" s="66"/>
      <c r="V130" s="66"/>
    </row>
    <row r="131" spans="1:22" hidden="1" x14ac:dyDescent="0.25">
      <c r="A131" s="66"/>
      <c r="B131" s="71"/>
      <c r="C131" s="66"/>
      <c r="D131" s="66"/>
      <c r="E131" s="66"/>
      <c r="F131" s="66"/>
      <c r="G131" s="66"/>
      <c r="H131" s="66"/>
      <c r="I131" s="66"/>
      <c r="J131" s="241"/>
      <c r="K131" s="241"/>
      <c r="L131" s="241"/>
      <c r="M131" s="241"/>
      <c r="N131" s="241"/>
      <c r="O131" s="241"/>
      <c r="P131" s="241"/>
      <c r="Q131" s="241"/>
      <c r="R131" s="241"/>
      <c r="S131" s="66"/>
      <c r="T131" s="66"/>
      <c r="U131" s="66"/>
      <c r="V131" s="66"/>
    </row>
    <row r="132" spans="1:22" hidden="1" x14ac:dyDescent="0.25">
      <c r="A132" s="66"/>
      <c r="B132" s="71"/>
      <c r="C132" s="66"/>
      <c r="D132" s="66"/>
      <c r="E132" s="66"/>
      <c r="F132" s="66"/>
      <c r="G132" s="66"/>
      <c r="H132" s="66"/>
      <c r="I132" s="66"/>
      <c r="J132" s="241"/>
      <c r="K132" s="241"/>
      <c r="L132" s="241"/>
      <c r="M132" s="241"/>
      <c r="N132" s="241"/>
      <c r="O132" s="241"/>
      <c r="P132" s="241"/>
      <c r="Q132" s="241"/>
      <c r="R132" s="241"/>
      <c r="S132" s="66"/>
      <c r="T132" s="66"/>
      <c r="U132" s="66"/>
      <c r="V132" s="66"/>
    </row>
    <row r="133" spans="1:22" hidden="1" x14ac:dyDescent="0.25">
      <c r="A133" s="66"/>
      <c r="B133" s="71"/>
      <c r="C133" s="66"/>
      <c r="D133" s="66"/>
      <c r="E133" s="66"/>
      <c r="F133" s="66"/>
      <c r="G133" s="66"/>
      <c r="H133" s="66"/>
      <c r="I133" s="66"/>
      <c r="J133" s="241"/>
      <c r="K133" s="241"/>
      <c r="L133" s="241"/>
      <c r="M133" s="241"/>
      <c r="N133" s="241"/>
      <c r="O133" s="241"/>
      <c r="P133" s="241"/>
      <c r="Q133" s="241"/>
      <c r="R133" s="241"/>
      <c r="S133" s="66"/>
      <c r="T133" s="66"/>
      <c r="U133" s="66"/>
      <c r="V133" s="66"/>
    </row>
    <row r="134" spans="1:22" hidden="1" x14ac:dyDescent="0.25">
      <c r="A134" s="66"/>
      <c r="B134" s="71"/>
      <c r="C134" s="66"/>
      <c r="D134" s="66"/>
      <c r="E134" s="66"/>
      <c r="F134" s="66"/>
      <c r="G134" s="66"/>
      <c r="H134" s="66"/>
      <c r="I134" s="66"/>
      <c r="J134" s="241"/>
      <c r="K134" s="241"/>
      <c r="L134" s="241"/>
      <c r="M134" s="241"/>
      <c r="N134" s="241"/>
      <c r="O134" s="241"/>
      <c r="P134" s="241"/>
      <c r="Q134" s="241"/>
      <c r="R134" s="241"/>
      <c r="S134" s="66"/>
      <c r="T134" s="66"/>
      <c r="U134" s="66"/>
      <c r="V134" s="66"/>
    </row>
    <row r="135" spans="1:22" hidden="1" x14ac:dyDescent="0.25">
      <c r="A135" s="66"/>
      <c r="B135" s="71"/>
      <c r="C135" s="66"/>
      <c r="D135" s="66"/>
      <c r="E135" s="66"/>
      <c r="F135" s="66"/>
      <c r="G135" s="66"/>
      <c r="H135" s="66"/>
      <c r="I135" s="66"/>
      <c r="J135" s="241"/>
      <c r="K135" s="241"/>
      <c r="L135" s="241"/>
      <c r="M135" s="241"/>
      <c r="N135" s="241"/>
      <c r="O135" s="241"/>
      <c r="P135" s="241"/>
      <c r="Q135" s="241"/>
      <c r="R135" s="241"/>
      <c r="S135" s="66"/>
      <c r="T135" s="66"/>
      <c r="U135" s="66"/>
      <c r="V135" s="66"/>
    </row>
    <row r="136" spans="1:22" hidden="1" x14ac:dyDescent="0.25">
      <c r="A136" s="66"/>
      <c r="B136" s="71"/>
      <c r="C136" s="66"/>
      <c r="D136" s="66"/>
      <c r="E136" s="66"/>
      <c r="F136" s="66"/>
      <c r="G136" s="66"/>
      <c r="H136" s="66"/>
      <c r="I136" s="66"/>
      <c r="J136" s="241"/>
      <c r="K136" s="241"/>
      <c r="L136" s="241"/>
      <c r="M136" s="241"/>
      <c r="N136" s="241"/>
      <c r="O136" s="241"/>
      <c r="P136" s="241"/>
      <c r="Q136" s="241"/>
      <c r="R136" s="241"/>
      <c r="S136" s="66"/>
      <c r="T136" s="66"/>
      <c r="U136" s="66"/>
      <c r="V136" s="66"/>
    </row>
    <row r="137" spans="1:22" hidden="1" x14ac:dyDescent="0.25">
      <c r="A137" s="66"/>
      <c r="B137" s="71"/>
      <c r="C137" s="66"/>
      <c r="D137" s="66"/>
      <c r="E137" s="66"/>
      <c r="F137" s="66"/>
      <c r="G137" s="66"/>
      <c r="H137" s="66"/>
      <c r="I137" s="66"/>
      <c r="J137" s="241"/>
      <c r="K137" s="241"/>
      <c r="L137" s="241"/>
      <c r="M137" s="241"/>
      <c r="N137" s="241"/>
      <c r="O137" s="241"/>
      <c r="P137" s="241"/>
      <c r="Q137" s="241"/>
      <c r="R137" s="241"/>
      <c r="S137" s="66"/>
      <c r="T137" s="66"/>
      <c r="U137" s="66"/>
      <c r="V137" s="66"/>
    </row>
    <row r="138" spans="1:22" hidden="1" x14ac:dyDescent="0.25">
      <c r="A138" s="66"/>
      <c r="B138" s="71"/>
      <c r="C138" s="66"/>
      <c r="D138" s="66"/>
      <c r="E138" s="66"/>
      <c r="F138" s="66"/>
      <c r="G138" s="66"/>
      <c r="H138" s="66"/>
      <c r="I138" s="66"/>
      <c r="J138" s="241"/>
      <c r="K138" s="241"/>
      <c r="L138" s="241"/>
      <c r="M138" s="241"/>
      <c r="N138" s="241"/>
      <c r="O138" s="241"/>
      <c r="P138" s="241"/>
      <c r="Q138" s="241"/>
      <c r="R138" s="241"/>
      <c r="S138" s="66"/>
      <c r="T138" s="66"/>
      <c r="U138" s="66"/>
      <c r="V138" s="66"/>
    </row>
    <row r="139" spans="1:22" hidden="1" x14ac:dyDescent="0.25">
      <c r="A139" s="66"/>
      <c r="B139" s="71"/>
      <c r="C139" s="66"/>
      <c r="D139" s="66"/>
      <c r="E139" s="66"/>
      <c r="F139" s="66"/>
      <c r="G139" s="66"/>
      <c r="H139" s="66"/>
      <c r="I139" s="66"/>
      <c r="J139" s="241"/>
      <c r="K139" s="241"/>
      <c r="L139" s="241"/>
      <c r="M139" s="241"/>
      <c r="N139" s="241"/>
      <c r="O139" s="241"/>
      <c r="P139" s="241"/>
      <c r="Q139" s="241"/>
      <c r="R139" s="241"/>
      <c r="S139" s="66"/>
      <c r="T139" s="66"/>
      <c r="U139" s="66"/>
      <c r="V139" s="66"/>
    </row>
    <row r="140" spans="1:22" hidden="1" x14ac:dyDescent="0.25">
      <c r="A140" s="66"/>
      <c r="B140" s="71"/>
      <c r="C140" s="66"/>
      <c r="D140" s="66"/>
      <c r="E140" s="66"/>
      <c r="F140" s="66"/>
      <c r="G140" s="66"/>
      <c r="H140" s="66"/>
      <c r="I140" s="66"/>
      <c r="J140" s="241"/>
      <c r="K140" s="241"/>
      <c r="L140" s="241"/>
      <c r="M140" s="241"/>
      <c r="N140" s="241"/>
      <c r="O140" s="241"/>
      <c r="P140" s="241"/>
      <c r="Q140" s="241"/>
      <c r="R140" s="241"/>
      <c r="S140" s="66"/>
      <c r="T140" s="66"/>
      <c r="U140" s="66"/>
      <c r="V140" s="66"/>
    </row>
    <row r="141" spans="1:22" hidden="1" x14ac:dyDescent="0.25">
      <c r="A141" s="66"/>
      <c r="B141" s="71"/>
      <c r="C141" s="66"/>
      <c r="D141" s="66"/>
      <c r="E141" s="66"/>
      <c r="F141" s="66"/>
      <c r="G141" s="66"/>
      <c r="H141" s="66"/>
      <c r="I141" s="66"/>
      <c r="J141" s="241"/>
      <c r="K141" s="241"/>
      <c r="L141" s="241"/>
      <c r="M141" s="241"/>
      <c r="N141" s="241"/>
      <c r="O141" s="241"/>
      <c r="P141" s="241"/>
      <c r="Q141" s="241"/>
      <c r="R141" s="241"/>
      <c r="S141" s="66"/>
      <c r="T141" s="66"/>
      <c r="U141" s="66"/>
      <c r="V141" s="66"/>
    </row>
    <row r="142" spans="1:22" hidden="1" x14ac:dyDescent="0.25">
      <c r="A142" s="66"/>
      <c r="B142" s="71"/>
      <c r="C142" s="66"/>
      <c r="D142" s="66"/>
      <c r="E142" s="66"/>
      <c r="F142" s="66"/>
      <c r="G142" s="66"/>
      <c r="H142" s="66"/>
      <c r="I142" s="66"/>
      <c r="J142" s="241"/>
      <c r="K142" s="241"/>
      <c r="L142" s="241"/>
      <c r="M142" s="241"/>
      <c r="N142" s="241"/>
      <c r="O142" s="241"/>
      <c r="P142" s="241"/>
      <c r="Q142" s="241"/>
      <c r="R142" s="241"/>
      <c r="S142" s="66"/>
      <c r="T142" s="66"/>
      <c r="U142" s="66"/>
      <c r="V142" s="66"/>
    </row>
    <row r="143" spans="1:22" hidden="1" x14ac:dyDescent="0.25">
      <c r="A143" s="66"/>
      <c r="B143" s="71"/>
      <c r="C143" s="66"/>
      <c r="D143" s="66"/>
      <c r="E143" s="66"/>
      <c r="F143" s="66"/>
      <c r="G143" s="66"/>
      <c r="H143" s="66"/>
      <c r="I143" s="66"/>
      <c r="J143" s="241"/>
      <c r="K143" s="241"/>
      <c r="L143" s="241"/>
      <c r="M143" s="241"/>
      <c r="N143" s="241"/>
      <c r="O143" s="241"/>
      <c r="P143" s="241"/>
      <c r="Q143" s="241"/>
      <c r="R143" s="241"/>
      <c r="S143" s="66"/>
      <c r="T143" s="66"/>
      <c r="U143" s="66"/>
      <c r="V143" s="66"/>
    </row>
    <row r="144" spans="1:22" hidden="1" x14ac:dyDescent="0.25">
      <c r="A144" s="66"/>
      <c r="B144" s="71"/>
      <c r="C144" s="66"/>
      <c r="D144" s="66"/>
      <c r="E144" s="66"/>
      <c r="F144" s="66"/>
      <c r="G144" s="66"/>
      <c r="H144" s="66"/>
      <c r="I144" s="66"/>
      <c r="J144" s="241"/>
      <c r="K144" s="241"/>
      <c r="L144" s="241"/>
      <c r="M144" s="241"/>
      <c r="N144" s="241"/>
      <c r="O144" s="241"/>
      <c r="P144" s="241"/>
      <c r="Q144" s="241"/>
      <c r="R144" s="241"/>
      <c r="S144" s="66"/>
      <c r="T144" s="66"/>
      <c r="U144" s="66"/>
      <c r="V144" s="66"/>
    </row>
    <row r="145" spans="1:22" hidden="1" x14ac:dyDescent="0.25">
      <c r="A145" s="66"/>
      <c r="B145" s="71"/>
      <c r="C145" s="66"/>
      <c r="D145" s="66"/>
      <c r="E145" s="66"/>
      <c r="F145" s="66"/>
      <c r="G145" s="66"/>
      <c r="H145" s="66"/>
      <c r="I145" s="66"/>
      <c r="J145" s="241"/>
      <c r="K145" s="241"/>
      <c r="L145" s="241"/>
      <c r="M145" s="241"/>
      <c r="N145" s="241"/>
      <c r="O145" s="241"/>
      <c r="P145" s="241"/>
      <c r="Q145" s="241"/>
      <c r="R145" s="241"/>
      <c r="S145" s="66"/>
      <c r="T145" s="66"/>
      <c r="U145" s="66"/>
      <c r="V145" s="66"/>
    </row>
    <row r="146" spans="1:22" hidden="1" x14ac:dyDescent="0.25">
      <c r="A146" s="66"/>
      <c r="B146" s="71"/>
      <c r="C146" s="66"/>
      <c r="D146" s="66"/>
      <c r="E146" s="66"/>
      <c r="F146" s="66"/>
      <c r="G146" s="66"/>
      <c r="H146" s="66"/>
      <c r="I146" s="66"/>
      <c r="J146" s="241"/>
      <c r="K146" s="241"/>
      <c r="L146" s="241"/>
      <c r="M146" s="241"/>
      <c r="N146" s="241"/>
      <c r="O146" s="241"/>
      <c r="P146" s="241"/>
      <c r="Q146" s="241"/>
      <c r="R146" s="241"/>
      <c r="S146" s="66"/>
      <c r="T146" s="66"/>
      <c r="U146" s="66"/>
      <c r="V146" s="66"/>
    </row>
    <row r="147" spans="1:22" hidden="1" x14ac:dyDescent="0.25">
      <c r="A147" s="66"/>
      <c r="B147" s="71"/>
      <c r="C147" s="66"/>
      <c r="D147" s="66"/>
      <c r="E147" s="66"/>
      <c r="F147" s="66"/>
      <c r="G147" s="66"/>
      <c r="H147" s="66"/>
      <c r="I147" s="66"/>
      <c r="J147" s="241"/>
      <c r="K147" s="241"/>
      <c r="L147" s="241"/>
      <c r="M147" s="241"/>
      <c r="N147" s="241"/>
      <c r="O147" s="241"/>
      <c r="P147" s="241"/>
      <c r="Q147" s="241"/>
      <c r="R147" s="241"/>
      <c r="S147" s="66"/>
      <c r="T147" s="66"/>
      <c r="U147" s="66"/>
      <c r="V147" s="66"/>
    </row>
    <row r="148" spans="1:22" hidden="1" x14ac:dyDescent="0.25">
      <c r="A148" s="66"/>
      <c r="B148" s="71"/>
      <c r="C148" s="66"/>
      <c r="D148" s="66"/>
      <c r="E148" s="66"/>
      <c r="F148" s="66"/>
      <c r="G148" s="66"/>
      <c r="H148" s="66"/>
      <c r="I148" s="66"/>
      <c r="J148" s="241"/>
      <c r="K148" s="241"/>
      <c r="L148" s="241"/>
      <c r="M148" s="241"/>
      <c r="N148" s="241"/>
      <c r="O148" s="241"/>
      <c r="P148" s="241"/>
      <c r="Q148" s="241"/>
      <c r="R148" s="241"/>
      <c r="S148" s="66"/>
      <c r="T148" s="66"/>
      <c r="U148" s="66"/>
      <c r="V148" s="66"/>
    </row>
    <row r="149" spans="1:22" hidden="1" x14ac:dyDescent="0.25">
      <c r="A149" s="66"/>
      <c r="B149" s="71"/>
      <c r="C149" s="66"/>
      <c r="D149" s="66"/>
      <c r="E149" s="66"/>
      <c r="F149" s="66"/>
      <c r="G149" s="66"/>
      <c r="H149" s="66"/>
      <c r="I149" s="66"/>
      <c r="J149" s="241"/>
      <c r="K149" s="241"/>
      <c r="L149" s="241"/>
      <c r="M149" s="241"/>
      <c r="N149" s="241"/>
      <c r="O149" s="241"/>
      <c r="P149" s="241"/>
      <c r="Q149" s="241"/>
      <c r="R149" s="241"/>
      <c r="S149" s="66"/>
      <c r="T149" s="66"/>
      <c r="U149" s="66"/>
      <c r="V149" s="66"/>
    </row>
    <row r="150" spans="1:22" hidden="1" x14ac:dyDescent="0.25">
      <c r="A150" s="66"/>
      <c r="B150" s="71"/>
      <c r="C150" s="66"/>
      <c r="D150" s="66"/>
      <c r="E150" s="66"/>
      <c r="F150" s="66"/>
      <c r="G150" s="66"/>
      <c r="H150" s="66"/>
      <c r="I150" s="66"/>
      <c r="J150" s="241"/>
      <c r="K150" s="241"/>
      <c r="L150" s="241"/>
      <c r="M150" s="241"/>
      <c r="N150" s="241"/>
      <c r="O150" s="241"/>
      <c r="P150" s="241"/>
      <c r="Q150" s="241"/>
      <c r="R150" s="241"/>
      <c r="S150" s="66"/>
      <c r="T150" s="66"/>
      <c r="U150" s="66"/>
      <c r="V150" s="66"/>
    </row>
    <row r="151" spans="1:22" hidden="1" x14ac:dyDescent="0.25">
      <c r="A151" s="66"/>
      <c r="B151" s="71"/>
      <c r="C151" s="66"/>
      <c r="D151" s="66"/>
      <c r="E151" s="66"/>
      <c r="F151" s="66"/>
      <c r="G151" s="66"/>
      <c r="H151" s="66"/>
      <c r="I151" s="66"/>
      <c r="J151" s="241"/>
      <c r="K151" s="241"/>
      <c r="L151" s="241"/>
      <c r="M151" s="241"/>
      <c r="N151" s="241"/>
      <c r="O151" s="241"/>
      <c r="P151" s="241"/>
      <c r="Q151" s="241"/>
      <c r="R151" s="241"/>
      <c r="S151" s="66"/>
      <c r="T151" s="66"/>
      <c r="U151" s="66"/>
      <c r="V151" s="66"/>
    </row>
    <row r="152" spans="1:22" hidden="1" x14ac:dyDescent="0.25">
      <c r="A152" s="66"/>
      <c r="B152" s="71"/>
      <c r="C152" s="66"/>
      <c r="D152" s="66"/>
      <c r="E152" s="66"/>
      <c r="F152" s="66"/>
      <c r="G152" s="66"/>
      <c r="H152" s="66"/>
      <c r="I152" s="66"/>
      <c r="J152" s="241"/>
      <c r="K152" s="241"/>
      <c r="L152" s="241"/>
      <c r="M152" s="241"/>
      <c r="N152" s="241"/>
      <c r="O152" s="241"/>
      <c r="P152" s="241"/>
      <c r="Q152" s="241"/>
      <c r="R152" s="241"/>
      <c r="S152" s="66"/>
      <c r="T152" s="66"/>
      <c r="U152" s="66"/>
      <c r="V152" s="66"/>
    </row>
    <row r="153" spans="1:22" hidden="1" x14ac:dyDescent="0.25">
      <c r="A153" s="66"/>
      <c r="B153" s="71"/>
      <c r="C153" s="66"/>
      <c r="D153" s="66"/>
      <c r="E153" s="66"/>
      <c r="F153" s="66"/>
      <c r="G153" s="66"/>
      <c r="H153" s="66"/>
      <c r="I153" s="66"/>
      <c r="J153" s="241"/>
      <c r="K153" s="241"/>
      <c r="L153" s="241"/>
      <c r="M153" s="241"/>
      <c r="N153" s="241"/>
      <c r="O153" s="241"/>
      <c r="P153" s="241"/>
      <c r="Q153" s="241"/>
      <c r="R153" s="241"/>
      <c r="S153" s="66"/>
      <c r="T153" s="66"/>
      <c r="U153" s="66"/>
      <c r="V153" s="66"/>
    </row>
  </sheetData>
  <mergeCells count="8">
    <mergeCell ref="A26:A30"/>
    <mergeCell ref="A31:A35"/>
    <mergeCell ref="I20:R20"/>
    <mergeCell ref="I19:R19"/>
    <mergeCell ref="B44:G44"/>
    <mergeCell ref="B5:G9"/>
    <mergeCell ref="B42:G42"/>
    <mergeCell ref="B43:G43"/>
  </mergeCells>
  <hyperlinks>
    <hyperlink ref="J16" r:id="rId1" xr:uid="{00000000-0004-0000-0200-000000000000}"/>
    <hyperlink ref="K16" r:id="rId2" display="Docket 10-0520, Staff Ex. 1.1, p. 12." xr:uid="{00000000-0004-0000-0200-000001000000}"/>
    <hyperlink ref="P16" r:id="rId3" xr:uid="{00000000-0004-0000-0200-000002000000}"/>
  </hyperlinks>
  <printOptions horizontalCentered="1" headings="1"/>
  <pageMargins left="0.5" right="0.5" top="1.25" bottom="1" header="0.5" footer="0.5"/>
  <pageSetup scale="46" orientation="landscape" r:id="rId4"/>
  <headerFooter scaleWithDoc="0">
    <oddHeader>&amp;R&amp;"Arial,Bold"ICC Docket No. 17-0312
Statewide Quarterly Report ComEd 2019 Q4
Tab: &amp;A</oddHeader>
  </headerFooter>
  <ignoredErrors>
    <ignoredError sqref="F25 F17" formula="1"/>
  </ignoredErrors>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4.9989318521683403E-2"/>
    <pageSetUpPr fitToPage="1"/>
  </sheetPr>
  <dimension ref="A1:Y58"/>
  <sheetViews>
    <sheetView zoomScale="120" zoomScaleNormal="120" workbookViewId="0">
      <pane xSplit="2" ySplit="3" topLeftCell="O12" activePane="bottomRight" state="frozen"/>
      <selection pane="topRight" activeCell="C1" sqref="C1"/>
      <selection pane="bottomLeft" activeCell="A4" sqref="A4"/>
      <selection pane="bottomRight" activeCell="Q31" sqref="Q31"/>
    </sheetView>
  </sheetViews>
  <sheetFormatPr defaultColWidth="0" defaultRowHeight="15" zeroHeight="1" x14ac:dyDescent="0.25"/>
  <cols>
    <col min="1" max="1" width="4.140625" customWidth="1"/>
    <col min="2" max="2" width="51.5703125" customWidth="1"/>
    <col min="3" max="3" width="13.140625" customWidth="1"/>
    <col min="4" max="4" width="11.5703125" customWidth="1"/>
    <col min="5" max="5" width="11.140625" customWidth="1"/>
    <col min="6" max="6" width="12" customWidth="1"/>
    <col min="7" max="7" width="13.5703125" customWidth="1"/>
    <col min="8" max="8" width="13.140625" customWidth="1"/>
    <col min="9" max="9" width="12.7109375" customWidth="1"/>
    <col min="10" max="11" width="14.140625" customWidth="1"/>
    <col min="12" max="12" width="13.85546875" customWidth="1"/>
    <col min="13" max="13" width="14.85546875" customWidth="1"/>
    <col min="14" max="14" width="15.140625" customWidth="1"/>
    <col min="15" max="15" width="14.85546875" customWidth="1"/>
    <col min="16" max="16" width="14.85546875" bestFit="1" customWidth="1"/>
    <col min="17" max="17" width="13.85546875" bestFit="1" customWidth="1"/>
    <col min="18" max="18" width="13.7109375" customWidth="1"/>
    <col min="19" max="19" width="16.42578125" customWidth="1"/>
    <col min="20" max="20" width="9.140625" customWidth="1"/>
    <col min="21" max="21" width="21.140625" customWidth="1"/>
    <col min="22" max="22" width="28.28515625" bestFit="1" customWidth="1"/>
    <col min="23" max="23" width="23.42578125" bestFit="1" customWidth="1"/>
    <col min="24" max="24" width="9.140625" customWidth="1"/>
    <col min="25" max="25" width="0" hidden="1" customWidth="1"/>
    <col min="26" max="16384" width="9.140625" hidden="1"/>
  </cols>
  <sheetData>
    <row r="1" spans="1:25" x14ac:dyDescent="0.25">
      <c r="A1" s="66"/>
      <c r="B1" s="73" t="s">
        <v>0</v>
      </c>
      <c r="C1" s="73"/>
      <c r="D1" s="66"/>
      <c r="E1" s="66"/>
      <c r="F1" s="66"/>
      <c r="G1" s="66"/>
      <c r="H1" s="66"/>
      <c r="I1" s="66"/>
      <c r="J1" s="66"/>
      <c r="K1" s="66"/>
      <c r="L1" s="66"/>
      <c r="M1" s="66"/>
      <c r="N1" s="66"/>
      <c r="O1" s="66"/>
      <c r="P1" s="66"/>
      <c r="Q1" s="66"/>
      <c r="R1" s="66"/>
      <c r="S1" s="66"/>
      <c r="T1" s="66"/>
      <c r="U1" s="66"/>
      <c r="V1" s="66"/>
      <c r="W1" s="66"/>
      <c r="X1" s="66"/>
      <c r="Y1" s="66"/>
    </row>
    <row r="2" spans="1:25" x14ac:dyDescent="0.25">
      <c r="A2" s="66"/>
      <c r="B2" s="73" t="s">
        <v>509</v>
      </c>
      <c r="C2" s="73"/>
      <c r="D2" s="66"/>
      <c r="E2" s="66"/>
      <c r="F2" s="66"/>
      <c r="G2" s="66"/>
      <c r="H2" s="66"/>
      <c r="I2" s="66"/>
      <c r="J2" s="66"/>
      <c r="K2" s="66"/>
      <c r="L2" s="66"/>
      <c r="M2" s="66"/>
      <c r="N2" s="66"/>
      <c r="O2" s="66"/>
      <c r="P2" s="66"/>
      <c r="Q2" s="66"/>
      <c r="R2" s="66"/>
      <c r="S2" s="66"/>
      <c r="T2" s="66"/>
      <c r="U2" s="66"/>
      <c r="V2" s="66"/>
      <c r="W2" s="66"/>
      <c r="X2" s="66"/>
      <c r="Y2" s="66"/>
    </row>
    <row r="3" spans="1:25" x14ac:dyDescent="0.25">
      <c r="A3" s="66"/>
      <c r="B3" s="73"/>
      <c r="C3" s="73"/>
      <c r="D3" s="66"/>
      <c r="E3" s="66"/>
      <c r="F3" s="66"/>
      <c r="G3" s="66"/>
      <c r="H3" s="66"/>
      <c r="I3" s="66"/>
      <c r="J3" s="66"/>
      <c r="K3" s="66"/>
      <c r="L3" s="66"/>
      <c r="M3" s="66"/>
      <c r="N3" s="66"/>
      <c r="O3" s="66"/>
      <c r="P3" s="66"/>
      <c r="Q3" s="66"/>
      <c r="R3" s="66"/>
      <c r="S3" s="66"/>
      <c r="T3" s="66"/>
      <c r="U3" s="66"/>
      <c r="V3" s="66"/>
      <c r="W3" s="66"/>
      <c r="X3" s="66"/>
      <c r="Y3" s="66"/>
    </row>
    <row r="4" spans="1:25" x14ac:dyDescent="0.25">
      <c r="A4" s="66"/>
      <c r="B4" s="73"/>
      <c r="C4" s="73"/>
      <c r="D4" s="66"/>
      <c r="E4" s="66"/>
      <c r="F4" s="66"/>
      <c r="G4" s="66"/>
      <c r="H4" s="66"/>
      <c r="I4" s="66"/>
      <c r="J4" s="66"/>
      <c r="K4" s="66"/>
      <c r="L4" s="66"/>
      <c r="M4" s="66"/>
      <c r="N4" s="66"/>
      <c r="O4" s="66"/>
      <c r="P4" s="66"/>
      <c r="Q4" s="66"/>
      <c r="R4" s="66"/>
      <c r="S4" s="66"/>
      <c r="T4" s="66"/>
      <c r="U4" s="66"/>
      <c r="V4" s="66"/>
      <c r="W4" s="66"/>
      <c r="X4" s="66"/>
      <c r="Y4" s="66"/>
    </row>
    <row r="5" spans="1:25" ht="22.5" customHeight="1" x14ac:dyDescent="0.25">
      <c r="A5" s="66"/>
      <c r="B5" s="509" t="s">
        <v>510</v>
      </c>
      <c r="C5" s="509"/>
      <c r="D5" s="509"/>
      <c r="E5" s="509"/>
      <c r="F5" s="509"/>
      <c r="G5" s="509"/>
      <c r="H5" s="509"/>
      <c r="I5" s="509"/>
      <c r="J5" s="509"/>
      <c r="K5" s="509"/>
      <c r="L5" s="509"/>
      <c r="M5" s="66"/>
      <c r="N5" s="66"/>
      <c r="O5" s="66"/>
      <c r="P5" s="66"/>
      <c r="Q5" s="66"/>
      <c r="R5" s="66"/>
      <c r="S5" s="66"/>
      <c r="T5" s="66"/>
      <c r="U5" s="66"/>
      <c r="V5" s="66"/>
      <c r="W5" s="66"/>
      <c r="X5" s="66"/>
      <c r="Y5" s="66"/>
    </row>
    <row r="6" spans="1:25" ht="21" customHeight="1" x14ac:dyDescent="0.25">
      <c r="A6" s="66"/>
      <c r="B6" s="509"/>
      <c r="C6" s="509"/>
      <c r="D6" s="509"/>
      <c r="E6" s="509"/>
      <c r="F6" s="509"/>
      <c r="G6" s="509"/>
      <c r="H6" s="509"/>
      <c r="I6" s="509"/>
      <c r="J6" s="509"/>
      <c r="K6" s="509"/>
      <c r="L6" s="509"/>
      <c r="M6" s="66"/>
      <c r="N6" s="66"/>
      <c r="O6" s="66"/>
      <c r="P6" s="66"/>
      <c r="Q6" s="66"/>
      <c r="R6" s="66"/>
      <c r="S6" s="66"/>
      <c r="T6" s="66"/>
      <c r="U6" s="66"/>
      <c r="V6" s="66"/>
      <c r="W6" s="66"/>
      <c r="X6" s="66"/>
      <c r="Y6" s="66"/>
    </row>
    <row r="7" spans="1:25" ht="21" customHeight="1" x14ac:dyDescent="0.25">
      <c r="A7" s="66"/>
      <c r="B7" s="509"/>
      <c r="C7" s="509"/>
      <c r="D7" s="509"/>
      <c r="E7" s="509"/>
      <c r="F7" s="509"/>
      <c r="G7" s="509"/>
      <c r="H7" s="509"/>
      <c r="I7" s="509"/>
      <c r="J7" s="509"/>
      <c r="K7" s="509"/>
      <c r="L7" s="509"/>
      <c r="M7" s="66"/>
      <c r="N7" s="66"/>
      <c r="O7" s="66"/>
      <c r="P7" s="66"/>
      <c r="Q7" s="66"/>
      <c r="R7" s="66"/>
      <c r="S7" s="66"/>
      <c r="T7" s="66"/>
      <c r="U7" s="66"/>
      <c r="V7" s="66"/>
      <c r="W7" s="66"/>
      <c r="X7" s="66"/>
      <c r="Y7" s="66"/>
    </row>
    <row r="8" spans="1:25" ht="16.5" x14ac:dyDescent="0.3">
      <c r="A8" s="66"/>
      <c r="B8" s="99"/>
      <c r="C8" s="99"/>
      <c r="D8" s="99"/>
      <c r="E8" s="99"/>
      <c r="F8" s="99"/>
      <c r="G8" s="99"/>
      <c r="H8" s="99"/>
      <c r="I8" s="99"/>
      <c r="J8" s="99"/>
      <c r="K8" s="99"/>
      <c r="L8" s="99"/>
      <c r="M8" s="99"/>
      <c r="N8" s="66"/>
      <c r="O8" s="66"/>
      <c r="P8" s="66"/>
      <c r="Q8" s="66"/>
      <c r="R8" s="66"/>
      <c r="S8" s="66"/>
      <c r="T8" s="66"/>
      <c r="U8" s="66"/>
      <c r="V8" s="66"/>
      <c r="W8" s="66"/>
      <c r="X8" s="66"/>
      <c r="Y8" s="66"/>
    </row>
    <row r="9" spans="1:25" ht="16.5" x14ac:dyDescent="0.3">
      <c r="A9" s="66"/>
      <c r="B9" s="140" t="s">
        <v>511</v>
      </c>
      <c r="C9" s="140"/>
      <c r="D9" s="140"/>
      <c r="E9" s="141"/>
      <c r="F9" s="141"/>
      <c r="G9" s="142"/>
      <c r="H9" s="143"/>
      <c r="I9" s="142"/>
      <c r="J9" s="142"/>
      <c r="K9" s="142"/>
      <c r="L9" s="142"/>
      <c r="M9" s="142"/>
      <c r="N9" s="66"/>
      <c r="O9" s="66"/>
      <c r="P9" s="66"/>
      <c r="Q9" s="66"/>
      <c r="R9" s="66"/>
      <c r="S9" s="66"/>
      <c r="T9" s="66"/>
      <c r="U9" s="66"/>
      <c r="V9" s="66"/>
      <c r="W9" s="66"/>
      <c r="X9" s="66"/>
      <c r="Y9" s="66"/>
    </row>
    <row r="10" spans="1:25" ht="18" customHeight="1" x14ac:dyDescent="0.3">
      <c r="A10" s="66"/>
      <c r="B10" s="232" t="str">
        <f>'1- Ex Ante Results'!C19</f>
        <v>CY2024 Q3</v>
      </c>
      <c r="C10" s="141"/>
      <c r="D10" s="141"/>
      <c r="E10" s="141"/>
      <c r="F10" s="141"/>
      <c r="G10" s="142"/>
      <c r="H10" s="142"/>
      <c r="I10" s="142"/>
      <c r="J10" s="142"/>
      <c r="K10" s="142"/>
      <c r="L10" s="142"/>
      <c r="M10" s="144"/>
      <c r="N10" s="66"/>
      <c r="O10" s="66"/>
      <c r="P10" s="66"/>
      <c r="Q10" s="66"/>
      <c r="R10" s="66"/>
      <c r="S10" s="66"/>
      <c r="T10" s="66"/>
      <c r="U10" s="66"/>
      <c r="V10" s="66"/>
      <c r="W10" s="66"/>
      <c r="X10" s="66"/>
      <c r="Y10" s="66"/>
    </row>
    <row r="11" spans="1:25" ht="28.5" x14ac:dyDescent="0.25">
      <c r="A11" s="66"/>
      <c r="B11" s="15" t="s">
        <v>512</v>
      </c>
      <c r="C11" s="15"/>
      <c r="D11" s="11" t="s">
        <v>464</v>
      </c>
      <c r="E11" s="11" t="s">
        <v>465</v>
      </c>
      <c r="F11" s="5" t="s">
        <v>466</v>
      </c>
      <c r="G11" s="5" t="s">
        <v>467</v>
      </c>
      <c r="H11" s="5" t="s">
        <v>468</v>
      </c>
      <c r="I11" s="5" t="s">
        <v>469</v>
      </c>
      <c r="J11" s="5" t="s">
        <v>470</v>
      </c>
      <c r="K11" s="5" t="s">
        <v>471</v>
      </c>
      <c r="L11" s="5" t="s">
        <v>513</v>
      </c>
      <c r="M11" s="5" t="s">
        <v>514</v>
      </c>
      <c r="N11" s="5" t="s">
        <v>515</v>
      </c>
      <c r="O11" s="5" t="s">
        <v>516</v>
      </c>
      <c r="P11" s="5" t="s">
        <v>517</v>
      </c>
      <c r="Q11" s="5" t="s">
        <v>518</v>
      </c>
      <c r="R11" s="5" t="s">
        <v>519</v>
      </c>
      <c r="S11" s="5" t="s">
        <v>520</v>
      </c>
      <c r="T11" s="66"/>
      <c r="U11" s="66"/>
      <c r="V11" s="66"/>
      <c r="W11" s="66"/>
      <c r="X11" s="66"/>
      <c r="Y11" s="66"/>
    </row>
    <row r="12" spans="1:25" x14ac:dyDescent="0.25">
      <c r="A12" s="66"/>
      <c r="B12" s="6" t="s">
        <v>521</v>
      </c>
      <c r="C12" s="51"/>
      <c r="D12" s="13">
        <v>182353</v>
      </c>
      <c r="E12" s="13">
        <v>506170</v>
      </c>
      <c r="F12" s="13">
        <v>680845</v>
      </c>
      <c r="G12" s="13">
        <v>1051751</v>
      </c>
      <c r="H12" s="13">
        <v>1041005</v>
      </c>
      <c r="I12" s="13">
        <v>1205087.922</v>
      </c>
      <c r="J12" s="13">
        <v>1207781.348736</v>
      </c>
      <c r="K12" s="13">
        <v>1382679.5970000001</v>
      </c>
      <c r="L12" s="13">
        <v>2542422.09</v>
      </c>
      <c r="M12" s="13">
        <v>1859773.2879999999</v>
      </c>
      <c r="N12" s="13">
        <v>1700029.4500006568</v>
      </c>
      <c r="O12" s="13">
        <v>1821166.2136200001</v>
      </c>
      <c r="P12" s="47">
        <f>'3- Energy'!$D$29</f>
        <v>1849877.162</v>
      </c>
      <c r="Q12" s="47">
        <v>1724232</v>
      </c>
      <c r="R12" s="47">
        <v>1569223.0419122316</v>
      </c>
      <c r="S12" s="47">
        <f>'3- Energy'!$D$33</f>
        <v>1363963.6698318999</v>
      </c>
      <c r="T12" s="66"/>
      <c r="U12" s="66"/>
      <c r="V12" s="66"/>
      <c r="W12" s="66"/>
      <c r="X12" s="66"/>
      <c r="Y12" s="66"/>
    </row>
    <row r="13" spans="1:25" x14ac:dyDescent="0.25">
      <c r="A13" s="66"/>
      <c r="B13" s="6" t="s">
        <v>522</v>
      </c>
      <c r="C13" s="51"/>
      <c r="D13" s="13">
        <f>D12*1000*1.3909/2204.62</f>
        <v>115046.94128693381</v>
      </c>
      <c r="E13" s="13">
        <f t="shared" ref="E13:L13" si="0">E12*1000*1.3909/2204.62</f>
        <v>319343.85653763462</v>
      </c>
      <c r="F13" s="13">
        <f t="shared" si="0"/>
        <v>429546.72936832655</v>
      </c>
      <c r="G13" s="13">
        <f t="shared" si="0"/>
        <v>663552.20668414515</v>
      </c>
      <c r="H13" s="13">
        <f t="shared" si="0"/>
        <v>656772.52973301522</v>
      </c>
      <c r="I13" s="13">
        <f t="shared" si="0"/>
        <v>760292.83536836284</v>
      </c>
      <c r="J13" s="13">
        <f t="shared" si="0"/>
        <v>761992.12470035767</v>
      </c>
      <c r="K13" s="13">
        <f t="shared" si="0"/>
        <v>872335.84539163217</v>
      </c>
      <c r="L13" s="13">
        <f t="shared" si="0"/>
        <v>1604020.1417845252</v>
      </c>
      <c r="M13" s="13">
        <f>M12*1000*1.2515/2204.62</f>
        <v>1055740.3407081494</v>
      </c>
      <c r="N13" s="13">
        <f>N12*1000*1.174/2204.62</f>
        <v>905296.41130932816</v>
      </c>
      <c r="O13" s="13">
        <f>O12*1000*1.174/2204.62</f>
        <v>969803.92756569397</v>
      </c>
      <c r="P13" s="13">
        <f>P12*1000*1.074/2204.62</f>
        <v>901183.91014687344</v>
      </c>
      <c r="Q13" s="13">
        <f>(Q12*1000*0.84903)/2204.62</f>
        <v>664025.8615815877</v>
      </c>
      <c r="R13" s="13">
        <v>604329.74357247143</v>
      </c>
      <c r="S13" s="13">
        <f>(S12*1000*0.7385)/2204.62</f>
        <v>456898.3181549919</v>
      </c>
      <c r="T13" s="66"/>
      <c r="U13" s="66"/>
      <c r="V13" s="301"/>
      <c r="W13" s="66"/>
      <c r="X13" s="66"/>
      <c r="Y13" s="66"/>
    </row>
    <row r="14" spans="1:25" x14ac:dyDescent="0.25">
      <c r="A14" s="66"/>
      <c r="B14" s="6" t="s">
        <v>523</v>
      </c>
      <c r="C14" s="51"/>
      <c r="D14" s="13">
        <f>D12*1000*1.3909/(4.67*2204.62)</f>
        <v>24635.31933339054</v>
      </c>
      <c r="E14" s="13">
        <f t="shared" ref="E14:L14" si="1">E12*1000*1.3909/(4.67*2204.62)</f>
        <v>68381.982127973155</v>
      </c>
      <c r="F14" s="13">
        <f t="shared" si="1"/>
        <v>91980.027701997111</v>
      </c>
      <c r="G14" s="13">
        <f t="shared" si="1"/>
        <v>142088.26695591974</v>
      </c>
      <c r="H14" s="13">
        <f t="shared" si="1"/>
        <v>140636.51600278699</v>
      </c>
      <c r="I14" s="13">
        <f t="shared" si="1"/>
        <v>162803.60500393208</v>
      </c>
      <c r="J14" s="13">
        <f t="shared" si="1"/>
        <v>163167.47852256053</v>
      </c>
      <c r="K14" s="13">
        <f t="shared" si="1"/>
        <v>186795.68423803686</v>
      </c>
      <c r="L14" s="13">
        <f t="shared" si="1"/>
        <v>343473.26376542298</v>
      </c>
      <c r="M14" s="13">
        <f>M12*1000*1.2515/(4.67*2204.62)</f>
        <v>226068.59544071721</v>
      </c>
      <c r="N14" s="13">
        <f>N12*1000*1.174/(4.63*2204.62)</f>
        <v>195528.38257220911</v>
      </c>
      <c r="O14" s="13">
        <f>O12*1000*1.174/(4.63*2204.62)</f>
        <v>209460.89148287126</v>
      </c>
      <c r="P14" s="13">
        <f>P12*1000*1.074/(4.6*2204.62)</f>
        <v>195909.54568410295</v>
      </c>
      <c r="Q14" s="13">
        <f>Q12*1000*0.84903/(4.6*2204.62)</f>
        <v>144353.44816991038</v>
      </c>
      <c r="R14" s="13">
        <v>131376.03121140684</v>
      </c>
      <c r="S14" s="13">
        <f>(S12*1000*0.7385)/9899</f>
        <v>101756.45723516094</v>
      </c>
      <c r="T14" s="66"/>
      <c r="U14" s="66"/>
      <c r="V14" s="66"/>
      <c r="W14" s="66"/>
      <c r="X14" s="66"/>
      <c r="Y14" s="66"/>
    </row>
    <row r="15" spans="1:25" x14ac:dyDescent="0.25">
      <c r="A15" s="66"/>
      <c r="B15" s="6" t="s">
        <v>524</v>
      </c>
      <c r="C15" s="51"/>
      <c r="D15" s="13">
        <f>(D12*1000*1.3909)/(0.85*2204.62)</f>
        <v>135349.34269051038</v>
      </c>
      <c r="E15" s="13">
        <f t="shared" ref="E15:L15" si="2">(E12*1000*1.3909)/(0.85*2204.62)</f>
        <v>375698.65475015837</v>
      </c>
      <c r="F15" s="13">
        <f t="shared" si="2"/>
        <v>505349.0933745018</v>
      </c>
      <c r="G15" s="13">
        <f t="shared" si="2"/>
        <v>780649.65492252377</v>
      </c>
      <c r="H15" s="13">
        <f t="shared" si="2"/>
        <v>772673.56439178262</v>
      </c>
      <c r="I15" s="13">
        <f t="shared" si="2"/>
        <v>894462.15925689752</v>
      </c>
      <c r="J15" s="13">
        <f t="shared" si="2"/>
        <v>896461.32317689143</v>
      </c>
      <c r="K15" s="13">
        <f t="shared" si="2"/>
        <v>1026277.465166626</v>
      </c>
      <c r="L15" s="13">
        <f t="shared" si="2"/>
        <v>1887082.5197465003</v>
      </c>
      <c r="M15" s="13">
        <f>(M12*1000*1.2515)/(0.85*2204.62)</f>
        <v>1242047.4596566462</v>
      </c>
      <c r="N15" s="13">
        <f>(N12*1000*1.174)/(0.77*2204.62)</f>
        <v>1175709.6250770495</v>
      </c>
      <c r="O15" s="13">
        <f>(O12*1000*1.174)/(0.77*2204.62)</f>
        <v>1259485.6202151868</v>
      </c>
      <c r="P15" s="13">
        <f>(P12*1000*1.074)/(0.82*2204.62)</f>
        <v>1099004.768471797</v>
      </c>
      <c r="Q15" s="13">
        <f>(Q12*1000*0.84903)/(0.82*2204.62)</f>
        <v>809787.63607510692</v>
      </c>
      <c r="R15" s="13">
        <v>736987.49216155056</v>
      </c>
      <c r="S15" s="13">
        <f>(S12*1000*0.7385)/1852</f>
        <v>543891.560567418</v>
      </c>
      <c r="T15" s="66"/>
      <c r="U15" s="66"/>
      <c r="V15" s="66"/>
      <c r="W15" s="66"/>
      <c r="X15" s="66"/>
      <c r="Y15" s="66"/>
    </row>
    <row r="16" spans="1:25" x14ac:dyDescent="0.25">
      <c r="A16" s="66"/>
      <c r="B16" s="6" t="s">
        <v>525</v>
      </c>
      <c r="C16" s="51"/>
      <c r="D16" s="13">
        <f>D12*1000/8916</f>
        <v>20452.33288470166</v>
      </c>
      <c r="E16" s="13">
        <f t="shared" ref="E16:M16" si="3">E12*1000/8916</f>
        <v>56770.973530731273</v>
      </c>
      <c r="F16" s="13">
        <f t="shared" si="3"/>
        <v>76362.157918349039</v>
      </c>
      <c r="G16" s="13">
        <f t="shared" si="3"/>
        <v>117962.20278151637</v>
      </c>
      <c r="H16" s="13">
        <f t="shared" si="3"/>
        <v>116756.95379093764</v>
      </c>
      <c r="I16" s="13">
        <f t="shared" si="3"/>
        <v>135160.1527590848</v>
      </c>
      <c r="J16" s="13">
        <f t="shared" si="3"/>
        <v>135462.24189502018</v>
      </c>
      <c r="K16" s="13">
        <f t="shared" si="3"/>
        <v>155078.46534320322</v>
      </c>
      <c r="L16" s="13">
        <f t="shared" si="3"/>
        <v>285152.76917900401</v>
      </c>
      <c r="M16" s="13">
        <f t="shared" si="3"/>
        <v>208588.30058322116</v>
      </c>
      <c r="N16" s="13">
        <f>N12*1000/8640</f>
        <v>196762.66782415009</v>
      </c>
      <c r="O16" s="13">
        <f>O12*1000/8652</f>
        <v>210490.77827323164</v>
      </c>
      <c r="P16" s="13">
        <f>P12*1000/8652</f>
        <v>213809.19579288026</v>
      </c>
      <c r="Q16" s="13">
        <f>Q12*1000/8700</f>
        <v>198187.58620689655</v>
      </c>
      <c r="R16" s="13">
        <v>180370.46458761283</v>
      </c>
      <c r="S16" s="13">
        <f>S12*1000/8628</f>
        <v>158085.72900230644</v>
      </c>
      <c r="T16" s="66"/>
      <c r="U16" s="66"/>
      <c r="V16" s="66"/>
      <c r="W16" s="66"/>
      <c r="X16" s="66"/>
      <c r="Y16" s="66"/>
    </row>
    <row r="17" spans="1:25" x14ac:dyDescent="0.25">
      <c r="A17" s="66"/>
      <c r="B17" s="6" t="s">
        <v>526</v>
      </c>
      <c r="C17" s="51"/>
      <c r="D17" s="13">
        <v>66</v>
      </c>
      <c r="E17" s="13">
        <v>84</v>
      </c>
      <c r="F17" s="13">
        <v>154</v>
      </c>
      <c r="G17" s="13">
        <v>179</v>
      </c>
      <c r="H17" s="14">
        <v>196</v>
      </c>
      <c r="I17" s="14">
        <v>234</v>
      </c>
      <c r="J17" s="14">
        <v>260</v>
      </c>
      <c r="K17" s="13">
        <v>267</v>
      </c>
      <c r="L17" s="13">
        <v>376</v>
      </c>
      <c r="M17" s="14">
        <v>412.48</v>
      </c>
      <c r="N17" s="62">
        <v>482</v>
      </c>
      <c r="O17" s="63">
        <v>475</v>
      </c>
      <c r="P17" s="47">
        <v>442</v>
      </c>
      <c r="Q17" s="47">
        <v>457</v>
      </c>
      <c r="R17" s="47">
        <v>484</v>
      </c>
      <c r="S17" s="47">
        <v>509</v>
      </c>
      <c r="T17" s="139"/>
      <c r="U17" s="139"/>
      <c r="V17" s="139"/>
      <c r="W17" s="139"/>
      <c r="X17" s="66"/>
      <c r="Y17" s="66"/>
    </row>
    <row r="18" spans="1:25" s="12" customFormat="1" x14ac:dyDescent="0.25">
      <c r="A18" s="71"/>
      <c r="B18" s="29" t="s">
        <v>527</v>
      </c>
      <c r="C18" s="51"/>
      <c r="D18" s="51"/>
      <c r="E18" s="51"/>
      <c r="F18" s="51"/>
      <c r="G18" s="51"/>
      <c r="H18" s="51"/>
      <c r="I18" s="51"/>
      <c r="J18" s="51"/>
      <c r="K18" s="51"/>
      <c r="L18" s="13">
        <f>459+1299+1+318</f>
        <v>2077</v>
      </c>
      <c r="M18" s="47">
        <f>1561+5119+2497+9+34899</f>
        <v>44085</v>
      </c>
      <c r="N18" s="47">
        <v>75450</v>
      </c>
      <c r="O18" s="47">
        <v>73577</v>
      </c>
      <c r="P18" s="47">
        <v>79722</v>
      </c>
      <c r="Q18" s="47">
        <v>89548</v>
      </c>
      <c r="R18" s="47">
        <v>98592</v>
      </c>
      <c r="S18" s="47">
        <v>67038</v>
      </c>
      <c r="T18" s="145"/>
      <c r="U18" s="145"/>
      <c r="V18" s="145"/>
      <c r="W18" s="145"/>
      <c r="X18" s="71"/>
      <c r="Y18" s="71"/>
    </row>
    <row r="19" spans="1:25" x14ac:dyDescent="0.25">
      <c r="A19" s="66"/>
      <c r="B19" s="103"/>
      <c r="C19" s="103"/>
      <c r="D19" s="136"/>
      <c r="E19" s="136"/>
      <c r="F19" s="136"/>
      <c r="G19" s="136"/>
      <c r="H19" s="136"/>
      <c r="I19" s="136"/>
      <c r="J19" s="136"/>
      <c r="K19" s="136"/>
      <c r="L19" s="136"/>
      <c r="M19" s="138"/>
      <c r="N19" s="66"/>
      <c r="O19" s="66"/>
      <c r="P19" s="66"/>
      <c r="Q19" s="66"/>
      <c r="R19" s="66"/>
      <c r="S19" s="66"/>
      <c r="T19" s="139"/>
      <c r="U19" s="139"/>
      <c r="V19" s="139"/>
      <c r="W19" s="139"/>
      <c r="X19" s="66"/>
      <c r="Y19" s="66"/>
    </row>
    <row r="20" spans="1:25" ht="48.75" customHeight="1" x14ac:dyDescent="0.25">
      <c r="A20" s="66"/>
      <c r="B20" s="15" t="s">
        <v>528</v>
      </c>
      <c r="C20" s="5" t="s">
        <v>529</v>
      </c>
      <c r="D20" s="5" t="s">
        <v>530</v>
      </c>
      <c r="E20" s="5" t="s">
        <v>531</v>
      </c>
      <c r="F20" s="5" t="s">
        <v>532</v>
      </c>
      <c r="G20" s="5" t="s">
        <v>533</v>
      </c>
      <c r="H20" s="5" t="s">
        <v>534</v>
      </c>
      <c r="I20" s="5" t="s">
        <v>535</v>
      </c>
      <c r="J20" s="5" t="s">
        <v>536</v>
      </c>
      <c r="K20" s="5" t="s">
        <v>537</v>
      </c>
      <c r="L20" s="5" t="s">
        <v>538</v>
      </c>
      <c r="M20" s="5" t="s">
        <v>514</v>
      </c>
      <c r="N20" s="5" t="s">
        <v>515</v>
      </c>
      <c r="O20" s="5" t="s">
        <v>516</v>
      </c>
      <c r="P20" s="5" t="s">
        <v>517</v>
      </c>
      <c r="Q20" s="5" t="s">
        <v>518</v>
      </c>
      <c r="R20" s="5" t="s">
        <v>519</v>
      </c>
      <c r="S20" s="5" t="s">
        <v>520</v>
      </c>
      <c r="T20" s="139"/>
      <c r="U20" s="66"/>
      <c r="V20" s="139"/>
      <c r="W20" s="139"/>
      <c r="X20" s="66"/>
      <c r="Y20" s="66"/>
    </row>
    <row r="21" spans="1:25" ht="24.75" customHeight="1" x14ac:dyDescent="0.25">
      <c r="A21" s="66"/>
      <c r="B21" s="6" t="s">
        <v>539</v>
      </c>
      <c r="C21" s="13">
        <v>1400000</v>
      </c>
      <c r="D21" s="13">
        <v>19800000</v>
      </c>
      <c r="E21" s="13">
        <v>84500000</v>
      </c>
      <c r="F21" s="13">
        <v>211600000</v>
      </c>
      <c r="G21" s="13">
        <v>429800000</v>
      </c>
      <c r="H21" s="13">
        <v>691400000</v>
      </c>
      <c r="I21" s="13">
        <v>1153200000</v>
      </c>
      <c r="J21" s="13">
        <v>1715400000</v>
      </c>
      <c r="K21" s="13">
        <v>2344700000</v>
      </c>
      <c r="L21" s="47">
        <f>3002600000</f>
        <v>3002600000</v>
      </c>
      <c r="M21" s="47">
        <v>3764700000</v>
      </c>
      <c r="N21" s="47">
        <v>4559500000</v>
      </c>
      <c r="O21" s="47">
        <v>5442800000</v>
      </c>
      <c r="P21" s="47">
        <v>6424097000</v>
      </c>
      <c r="Q21" s="47">
        <v>7653843402.3071308</v>
      </c>
      <c r="R21" s="47">
        <v>9152219571.9666824</v>
      </c>
      <c r="S21" s="499">
        <v>10560866889.261162</v>
      </c>
      <c r="T21" s="139"/>
      <c r="U21" s="66"/>
      <c r="V21" s="139"/>
      <c r="W21" s="139"/>
      <c r="X21" s="66"/>
      <c r="Y21" s="66"/>
    </row>
    <row r="22" spans="1:25" x14ac:dyDescent="0.25">
      <c r="A22" s="66"/>
      <c r="B22" s="6" t="s">
        <v>540</v>
      </c>
      <c r="C22" s="13">
        <v>12997.1693670485</v>
      </c>
      <c r="D22" s="13">
        <v>187713.304494382</v>
      </c>
      <c r="E22" s="13">
        <v>653580.80466569797</v>
      </c>
      <c r="F22" s="13">
        <v>1265042.7655790001</v>
      </c>
      <c r="G22" s="13">
        <v>2136490.2403814155</v>
      </c>
      <c r="H22" s="13">
        <v>2958586.2127598412</v>
      </c>
      <c r="I22" s="13">
        <v>3934604.1171026533</v>
      </c>
      <c r="J22" s="13">
        <v>4855779.8367007999</v>
      </c>
      <c r="K22" s="47">
        <v>5452538.5959787779</v>
      </c>
      <c r="L22" s="47">
        <v>5721960.3020907417</v>
      </c>
      <c r="M22" s="47">
        <v>33597909.552505702</v>
      </c>
      <c r="N22" s="47">
        <v>41111935.064689398</v>
      </c>
      <c r="O22" s="47">
        <v>49782658.144593798</v>
      </c>
      <c r="P22" s="47">
        <v>59434169.137077436</v>
      </c>
      <c r="Q22" s="47">
        <v>70358375.164017603</v>
      </c>
      <c r="R22" s="47">
        <v>82474110.986843407</v>
      </c>
      <c r="S22" s="499">
        <v>92334665.563446283</v>
      </c>
      <c r="T22" s="139"/>
      <c r="U22" s="66"/>
      <c r="V22" s="139"/>
      <c r="W22" s="139"/>
      <c r="X22" s="66"/>
      <c r="Y22" s="66"/>
    </row>
    <row r="23" spans="1:25" x14ac:dyDescent="0.25">
      <c r="A23" s="66"/>
      <c r="B23" s="6" t="s">
        <v>541</v>
      </c>
      <c r="C23" s="13">
        <v>6331.6852338317221</v>
      </c>
      <c r="D23" s="13">
        <v>91446.185295863368</v>
      </c>
      <c r="E23" s="13">
        <v>318397.63052633096</v>
      </c>
      <c r="F23" s="13">
        <v>616276.69631584862</v>
      </c>
      <c r="G23" s="13">
        <v>1040809.9891000015</v>
      </c>
      <c r="H23" s="13">
        <v>1441301.2639384875</v>
      </c>
      <c r="I23" s="13">
        <v>1916776.9600966366</v>
      </c>
      <c r="J23" s="13">
        <v>2365535.8041824256</v>
      </c>
      <c r="K23" s="47">
        <v>2656252.0761315832</v>
      </c>
      <c r="L23" s="47">
        <v>2787503.2270620135</v>
      </c>
      <c r="M23" s="47">
        <v>16367516.787197396</v>
      </c>
      <c r="N23" s="47">
        <v>20028040.324172158</v>
      </c>
      <c r="O23" s="47">
        <v>24252059.242542364</v>
      </c>
      <c r="P23" s="47">
        <v>28953877.608486351</v>
      </c>
      <c r="Q23" s="47">
        <v>27095994.441448353</v>
      </c>
      <c r="R23" s="47">
        <v>31761933.780497164</v>
      </c>
      <c r="S23" s="499">
        <v>30930115.175678842</v>
      </c>
      <c r="T23" s="139"/>
      <c r="U23" s="66"/>
      <c r="V23" s="139"/>
      <c r="W23" s="139"/>
      <c r="X23" s="66"/>
      <c r="Y23" s="66"/>
    </row>
    <row r="24" spans="1:25" x14ac:dyDescent="0.25">
      <c r="A24" s="66"/>
      <c r="B24" s="6" t="s">
        <v>542</v>
      </c>
      <c r="C24" s="13">
        <v>1367.5346077390329</v>
      </c>
      <c r="D24" s="13">
        <v>19750.795960229669</v>
      </c>
      <c r="E24" s="13">
        <v>68768.386722749681</v>
      </c>
      <c r="F24" s="13">
        <v>133105.11799478374</v>
      </c>
      <c r="G24" s="13">
        <v>224796.97388768932</v>
      </c>
      <c r="H24" s="13">
        <v>311296.16931716795</v>
      </c>
      <c r="I24" s="13">
        <v>413990.70412454358</v>
      </c>
      <c r="J24" s="13">
        <v>510914.86051456281</v>
      </c>
      <c r="K24" s="47">
        <v>573704.55208025558</v>
      </c>
      <c r="L24" s="47">
        <v>602052.53284276754</v>
      </c>
      <c r="M24" s="47">
        <v>3535100.8179692002</v>
      </c>
      <c r="N24" s="47">
        <v>4325710.6531689325</v>
      </c>
      <c r="O24" s="47">
        <v>5238025.754328805</v>
      </c>
      <c r="P24" s="47">
        <v>6294321.2192361634</v>
      </c>
      <c r="Q24" s="47">
        <v>5890433.574227904</v>
      </c>
      <c r="R24" s="47">
        <v>6904768.2131515583</v>
      </c>
      <c r="S24" s="499">
        <v>6888667.0769886058</v>
      </c>
      <c r="T24" s="139"/>
      <c r="U24" s="66"/>
      <c r="V24" s="139"/>
      <c r="W24" s="139"/>
      <c r="X24" s="66"/>
      <c r="Y24" s="66"/>
    </row>
    <row r="25" spans="1:25" x14ac:dyDescent="0.25">
      <c r="A25" s="66"/>
      <c r="B25" s="6" t="s">
        <v>543</v>
      </c>
      <c r="C25" s="13">
        <v>8222.9678361450933</v>
      </c>
      <c r="D25" s="13">
        <v>118761.27960501735</v>
      </c>
      <c r="E25" s="13">
        <v>413503.41626796231</v>
      </c>
      <c r="F25" s="13">
        <v>800359.34586473845</v>
      </c>
      <c r="G25" s="13">
        <v>1351701.2845454565</v>
      </c>
      <c r="H25" s="13">
        <v>1871819.8232967372</v>
      </c>
      <c r="I25" s="13">
        <v>2489320.7273982293</v>
      </c>
      <c r="J25" s="13">
        <v>3072124.4210161371</v>
      </c>
      <c r="K25" s="47">
        <v>3449678.0209501078</v>
      </c>
      <c r="L25" s="47">
        <v>3620134.0611194978</v>
      </c>
      <c r="M25" s="47">
        <v>21256515.308048565</v>
      </c>
      <c r="N25" s="47">
        <v>26010441.979444358</v>
      </c>
      <c r="O25" s="47">
        <v>31496180.834470604</v>
      </c>
      <c r="P25" s="47">
        <v>35309606.839617498</v>
      </c>
      <c r="Q25" s="47">
        <v>33043895.66030287</v>
      </c>
      <c r="R25" s="47">
        <v>38734065.585972153</v>
      </c>
      <c r="S25" s="499">
        <v>36821565.685331956</v>
      </c>
      <c r="T25" s="139"/>
      <c r="U25" s="66"/>
      <c r="V25" s="139"/>
      <c r="W25" s="139"/>
      <c r="X25" s="66"/>
      <c r="Y25" s="66"/>
    </row>
    <row r="26" spans="1:25" x14ac:dyDescent="0.25">
      <c r="A26" s="66"/>
      <c r="B26" s="6" t="s">
        <v>544</v>
      </c>
      <c r="C26" s="13">
        <v>1502.2155995201688</v>
      </c>
      <c r="D26" s="13">
        <v>21695.943653996994</v>
      </c>
      <c r="E26" s="13">
        <v>75541.008398716833</v>
      </c>
      <c r="F26" s="13">
        <v>146213.91187921868</v>
      </c>
      <c r="G26" s="13">
        <v>246935.99634551778</v>
      </c>
      <c r="H26" s="13">
        <v>341954.02366618585</v>
      </c>
      <c r="I26" s="13">
        <v>454762.38061750465</v>
      </c>
      <c r="J26" s="13">
        <v>561232.06619288027</v>
      </c>
      <c r="K26" s="47">
        <v>630205.57050147711</v>
      </c>
      <c r="L26" s="47">
        <v>661345.38859116274</v>
      </c>
      <c r="M26" s="47">
        <v>3883253.5312651061</v>
      </c>
      <c r="N26" s="47">
        <v>4751726.1979530053</v>
      </c>
      <c r="O26" s="47">
        <v>5753890.2155101486</v>
      </c>
      <c r="P26" s="47">
        <v>6869413.9085850017</v>
      </c>
      <c r="Q26" s="47">
        <v>8087169.5590824839</v>
      </c>
      <c r="R26" s="47">
        <v>9401973.4367126562</v>
      </c>
      <c r="S26" s="499">
        <v>10701746.124646069</v>
      </c>
      <c r="T26" s="139"/>
      <c r="U26" s="66"/>
      <c r="V26" s="139"/>
      <c r="W26" s="139"/>
      <c r="X26" s="66"/>
      <c r="Y26" s="66"/>
    </row>
    <row r="27" spans="1:25" x14ac:dyDescent="0.25">
      <c r="A27" s="66"/>
      <c r="B27" s="103"/>
      <c r="C27" s="103"/>
      <c r="D27" s="136"/>
      <c r="E27" s="136"/>
      <c r="F27" s="136"/>
      <c r="G27" s="136"/>
      <c r="H27" s="137"/>
      <c r="I27" s="137"/>
      <c r="J27" s="137"/>
      <c r="K27" s="136"/>
      <c r="L27" s="136"/>
      <c r="M27" s="138"/>
      <c r="N27" s="66"/>
      <c r="O27" s="66"/>
      <c r="P27" s="66"/>
      <c r="Q27" s="139"/>
      <c r="R27" s="139"/>
      <c r="S27" s="139"/>
      <c r="T27" s="139"/>
      <c r="U27" s="139"/>
      <c r="V27" s="139"/>
      <c r="W27" s="139"/>
      <c r="X27" s="66"/>
      <c r="Y27" s="66"/>
    </row>
    <row r="28" spans="1:25" x14ac:dyDescent="0.25">
      <c r="A28" s="66"/>
      <c r="B28" s="102" t="s">
        <v>197</v>
      </c>
      <c r="C28" s="102"/>
      <c r="D28" s="103"/>
      <c r="E28" s="102"/>
      <c r="F28" s="102"/>
      <c r="G28" s="104"/>
      <c r="H28" s="107"/>
      <c r="I28" s="107"/>
      <c r="J28" s="107"/>
      <c r="K28" s="104"/>
      <c r="L28" s="104"/>
      <c r="M28" s="108"/>
      <c r="N28" s="66"/>
      <c r="O28" s="66"/>
      <c r="P28" s="66"/>
      <c r="Q28" s="66"/>
      <c r="R28" s="66"/>
      <c r="S28" s="66"/>
      <c r="T28" s="66"/>
      <c r="U28" s="139"/>
      <c r="V28" s="139"/>
      <c r="W28" s="139"/>
      <c r="X28" s="66"/>
      <c r="Y28" s="66"/>
    </row>
    <row r="29" spans="1:25" ht="29.85" customHeight="1" x14ac:dyDescent="0.25">
      <c r="A29" s="66"/>
      <c r="B29" s="510" t="s">
        <v>545</v>
      </c>
      <c r="C29" s="510"/>
      <c r="D29" s="510"/>
      <c r="E29" s="510"/>
      <c r="F29" s="510"/>
      <c r="G29" s="510"/>
      <c r="H29" s="510"/>
      <c r="I29" s="510"/>
      <c r="J29" s="510"/>
      <c r="K29" s="510"/>
      <c r="L29" s="510"/>
      <c r="M29" s="510"/>
      <c r="N29" s="66"/>
      <c r="O29" s="66"/>
      <c r="P29" s="66"/>
      <c r="Q29" s="66"/>
      <c r="R29" s="66"/>
      <c r="S29" s="66"/>
      <c r="T29" s="66"/>
      <c r="U29" s="139"/>
      <c r="V29" s="139"/>
      <c r="W29" s="66"/>
      <c r="X29" s="66"/>
    </row>
    <row r="30" spans="1:25" ht="27.75" customHeight="1" x14ac:dyDescent="0.25">
      <c r="A30" s="66"/>
      <c r="B30" s="500" t="s">
        <v>546</v>
      </c>
      <c r="C30" s="501"/>
      <c r="D30" s="501"/>
      <c r="E30" s="501"/>
      <c r="F30" s="501"/>
      <c r="G30" s="501"/>
      <c r="H30" s="501"/>
      <c r="I30" s="501"/>
      <c r="J30" s="501"/>
      <c r="K30" s="501"/>
      <c r="L30" s="501"/>
      <c r="M30" s="502"/>
      <c r="N30" s="66"/>
      <c r="O30" s="66"/>
      <c r="P30" s="66"/>
      <c r="Q30" s="66"/>
      <c r="R30" s="66"/>
      <c r="S30" s="66"/>
      <c r="T30" s="66"/>
      <c r="U30" s="139"/>
      <c r="V30" s="139"/>
      <c r="W30" s="66"/>
      <c r="X30" s="66"/>
    </row>
    <row r="31" spans="1:25" ht="45" customHeight="1" x14ac:dyDescent="0.25">
      <c r="A31" s="66"/>
      <c r="B31" s="500" t="s">
        <v>547</v>
      </c>
      <c r="C31" s="501"/>
      <c r="D31" s="501"/>
      <c r="E31" s="501"/>
      <c r="F31" s="501"/>
      <c r="G31" s="501"/>
      <c r="H31" s="501"/>
      <c r="I31" s="501"/>
      <c r="J31" s="501"/>
      <c r="K31" s="501"/>
      <c r="L31" s="501"/>
      <c r="M31" s="502"/>
      <c r="N31" s="66"/>
      <c r="O31" s="66"/>
      <c r="P31" s="66"/>
      <c r="Q31" s="66"/>
      <c r="R31" s="66"/>
      <c r="S31" s="66"/>
      <c r="T31" s="66"/>
      <c r="U31" s="139"/>
      <c r="V31" s="139"/>
      <c r="W31" s="66"/>
      <c r="X31" s="66"/>
    </row>
    <row r="32" spans="1:25" ht="20.85" customHeight="1" x14ac:dyDescent="0.25">
      <c r="A32" s="66"/>
      <c r="B32" s="537" t="s">
        <v>548</v>
      </c>
      <c r="C32" s="537"/>
      <c r="D32" s="537"/>
      <c r="E32" s="537"/>
      <c r="F32" s="537"/>
      <c r="G32" s="537"/>
      <c r="H32" s="537"/>
      <c r="I32" s="537"/>
      <c r="J32" s="537"/>
      <c r="K32" s="537"/>
      <c r="L32" s="537"/>
      <c r="M32" s="537"/>
      <c r="N32" s="66"/>
      <c r="O32" s="66"/>
      <c r="P32" s="66"/>
      <c r="Q32" s="66"/>
      <c r="R32" s="66"/>
      <c r="S32" s="66"/>
      <c r="T32" s="66"/>
      <c r="U32" s="139"/>
      <c r="V32" s="139"/>
      <c r="W32" s="66"/>
      <c r="X32" s="66"/>
    </row>
    <row r="33" spans="1:25" ht="30" customHeight="1" x14ac:dyDescent="0.25">
      <c r="A33" s="66"/>
      <c r="B33" s="534" t="s">
        <v>549</v>
      </c>
      <c r="C33" s="535"/>
      <c r="D33" s="535"/>
      <c r="E33" s="535"/>
      <c r="F33" s="535"/>
      <c r="G33" s="535"/>
      <c r="H33" s="535"/>
      <c r="I33" s="535"/>
      <c r="J33" s="535"/>
      <c r="K33" s="535"/>
      <c r="L33" s="535"/>
      <c r="M33" s="536"/>
      <c r="N33" s="66"/>
      <c r="O33" s="66"/>
      <c r="P33" s="66"/>
      <c r="Q33" s="66"/>
      <c r="R33" s="66"/>
      <c r="S33" s="66"/>
      <c r="T33" s="66"/>
      <c r="U33" s="139"/>
      <c r="V33" s="139"/>
      <c r="W33" s="66"/>
      <c r="X33" s="66"/>
    </row>
    <row r="34" spans="1:25" ht="30" customHeight="1" x14ac:dyDescent="0.25">
      <c r="A34" s="66"/>
      <c r="B34" s="533" t="s">
        <v>550</v>
      </c>
      <c r="C34" s="533"/>
      <c r="D34" s="533"/>
      <c r="E34" s="533"/>
      <c r="F34" s="533"/>
      <c r="G34" s="533"/>
      <c r="H34" s="533"/>
      <c r="I34" s="533"/>
      <c r="J34" s="533"/>
      <c r="K34" s="533"/>
      <c r="L34" s="533"/>
      <c r="M34" s="533"/>
      <c r="N34" s="66"/>
      <c r="O34" s="66"/>
      <c r="P34" s="66"/>
      <c r="Q34" s="66"/>
      <c r="R34" s="66"/>
      <c r="S34" s="66"/>
      <c r="T34" s="66"/>
      <c r="U34" s="139"/>
      <c r="V34" s="139"/>
      <c r="W34" s="66"/>
      <c r="X34" s="66"/>
    </row>
    <row r="35" spans="1:25" ht="33.75" customHeight="1" x14ac:dyDescent="0.25">
      <c r="A35" s="66"/>
      <c r="B35" s="533" t="s">
        <v>551</v>
      </c>
      <c r="C35" s="533"/>
      <c r="D35" s="533"/>
      <c r="E35" s="533"/>
      <c r="F35" s="533"/>
      <c r="G35" s="533"/>
      <c r="H35" s="533"/>
      <c r="I35" s="533"/>
      <c r="J35" s="533"/>
      <c r="K35" s="533"/>
      <c r="L35" s="533"/>
      <c r="M35" s="533"/>
      <c r="N35" s="66"/>
      <c r="O35" s="66"/>
      <c r="P35" s="66"/>
      <c r="Q35" s="66"/>
      <c r="R35" s="66"/>
      <c r="S35" s="66"/>
      <c r="T35" s="66"/>
      <c r="U35" s="139"/>
      <c r="V35" s="139"/>
      <c r="W35" s="66"/>
      <c r="X35" s="66"/>
    </row>
    <row r="36" spans="1:25" ht="27.75" customHeight="1" x14ac:dyDescent="0.25">
      <c r="A36" s="66"/>
      <c r="B36" s="533" t="s">
        <v>552</v>
      </c>
      <c r="C36" s="533"/>
      <c r="D36" s="533"/>
      <c r="E36" s="533"/>
      <c r="F36" s="533"/>
      <c r="G36" s="533"/>
      <c r="H36" s="533"/>
      <c r="I36" s="533"/>
      <c r="J36" s="533"/>
      <c r="K36" s="533"/>
      <c r="L36" s="533"/>
      <c r="M36" s="533"/>
      <c r="N36" s="66"/>
      <c r="O36" s="66"/>
      <c r="P36" s="66"/>
      <c r="Q36" s="66"/>
      <c r="R36" s="66"/>
      <c r="S36" s="66"/>
      <c r="T36" s="66"/>
      <c r="U36" s="66"/>
      <c r="V36" s="66"/>
      <c r="W36" s="66"/>
      <c r="X36" s="66"/>
      <c r="Y36" s="66"/>
    </row>
    <row r="37" spans="1:25" ht="15" customHeight="1" x14ac:dyDescent="0.25">
      <c r="A37" s="66"/>
      <c r="B37" s="66"/>
      <c r="C37" s="66"/>
      <c r="D37" s="66"/>
      <c r="E37" s="66"/>
      <c r="F37" s="66"/>
      <c r="G37" s="66"/>
      <c r="H37" s="66"/>
      <c r="I37" s="66"/>
      <c r="J37" s="66"/>
      <c r="K37" s="66"/>
      <c r="L37" s="66"/>
      <c r="M37" s="66"/>
      <c r="N37" s="66"/>
      <c r="O37" s="66"/>
      <c r="P37" s="66"/>
      <c r="Q37" s="66"/>
      <c r="R37" s="66"/>
      <c r="S37" s="66"/>
      <c r="T37" s="66"/>
      <c r="U37" s="66"/>
      <c r="V37" s="66"/>
      <c r="W37" s="66"/>
      <c r="X37" s="66"/>
      <c r="Y37" s="66"/>
    </row>
    <row r="38" spans="1:25" x14ac:dyDescent="0.25">
      <c r="A38" s="66"/>
      <c r="B38" s="66"/>
      <c r="C38" s="66"/>
      <c r="D38" s="66"/>
      <c r="E38" s="66"/>
      <c r="F38" s="66"/>
      <c r="G38" s="66"/>
      <c r="H38" s="66"/>
      <c r="I38" s="66"/>
      <c r="J38" s="66"/>
      <c r="K38" s="66"/>
      <c r="L38" s="66"/>
      <c r="M38" s="66"/>
      <c r="N38" s="66"/>
      <c r="O38" s="66"/>
      <c r="P38" s="66"/>
      <c r="Q38" s="66"/>
      <c r="R38" s="66"/>
      <c r="S38" s="66"/>
      <c r="T38" s="66"/>
      <c r="U38" s="66"/>
      <c r="V38" s="66"/>
      <c r="W38" s="66"/>
      <c r="X38" s="66"/>
      <c r="Y38" s="66"/>
    </row>
    <row r="39" spans="1:25" x14ac:dyDescent="0.25">
      <c r="A39" s="66"/>
      <c r="B39" s="66"/>
      <c r="C39" s="66"/>
      <c r="D39" s="66"/>
      <c r="E39" s="66"/>
      <c r="F39" s="66"/>
      <c r="G39" s="66"/>
      <c r="H39" s="66"/>
      <c r="I39" s="66"/>
      <c r="J39" s="66"/>
      <c r="K39" s="66"/>
      <c r="L39" s="66"/>
      <c r="M39" s="66"/>
      <c r="N39" s="66"/>
      <c r="O39" s="66"/>
      <c r="P39" s="66"/>
      <c r="Q39" s="66"/>
      <c r="R39" s="66"/>
      <c r="S39" s="66"/>
      <c r="T39" s="66"/>
      <c r="U39" s="66"/>
      <c r="V39" s="66"/>
      <c r="W39" s="66"/>
      <c r="X39" s="66"/>
      <c r="Y39" s="66"/>
    </row>
    <row r="40" spans="1:25" x14ac:dyDescent="0.25">
      <c r="A40" s="66"/>
      <c r="B40" s="66"/>
      <c r="C40" s="66"/>
      <c r="D40" s="66"/>
      <c r="E40" s="66"/>
      <c r="F40" s="66"/>
      <c r="G40" s="66"/>
      <c r="H40" s="66"/>
      <c r="I40" s="66"/>
      <c r="J40" s="66"/>
      <c r="K40" s="66"/>
      <c r="L40" s="66"/>
      <c r="M40" s="66"/>
      <c r="N40" s="66"/>
      <c r="O40" s="66"/>
      <c r="P40" s="66"/>
      <c r="Q40" s="66"/>
      <c r="R40" s="66"/>
      <c r="S40" s="66"/>
      <c r="T40" s="66"/>
      <c r="U40" s="66"/>
      <c r="V40" s="66"/>
      <c r="W40" s="66"/>
      <c r="X40" s="66"/>
      <c r="Y40" s="66"/>
    </row>
    <row r="41" spans="1:25"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66"/>
      <c r="Y41" s="66"/>
    </row>
    <row r="42" spans="1:25" hidden="1"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66"/>
    </row>
    <row r="43" spans="1:25" hidden="1"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66"/>
    </row>
    <row r="44" spans="1:25" hidden="1" x14ac:dyDescent="0.25">
      <c r="A44" s="66"/>
      <c r="B44" s="66"/>
      <c r="C44" s="66"/>
      <c r="D44" s="66"/>
      <c r="E44" s="66"/>
      <c r="F44" s="66"/>
      <c r="G44" s="66"/>
      <c r="H44" s="66"/>
      <c r="I44" s="66"/>
      <c r="J44" s="66"/>
      <c r="K44" s="66"/>
      <c r="L44" s="66"/>
      <c r="M44" s="66"/>
      <c r="N44" s="66"/>
      <c r="O44" s="66"/>
      <c r="P44" s="66"/>
      <c r="Q44" s="66"/>
      <c r="R44" s="66"/>
      <c r="S44" s="66"/>
      <c r="T44" s="66"/>
      <c r="U44" s="66"/>
      <c r="V44" s="66"/>
      <c r="W44" s="66"/>
      <c r="X44" s="66"/>
      <c r="Y44" s="66"/>
    </row>
    <row r="45" spans="1:25" hidden="1" x14ac:dyDescent="0.25">
      <c r="A45" s="66"/>
      <c r="B45" s="66"/>
      <c r="C45" s="66"/>
      <c r="D45" s="66"/>
      <c r="E45" s="66"/>
      <c r="F45" s="66"/>
      <c r="G45" s="66"/>
      <c r="H45" s="66"/>
      <c r="I45" s="66"/>
      <c r="J45" s="66"/>
      <c r="K45" s="66"/>
      <c r="L45" s="66"/>
      <c r="M45" s="66"/>
      <c r="N45" s="66"/>
      <c r="O45" s="66"/>
      <c r="P45" s="66"/>
      <c r="Q45" s="66"/>
      <c r="R45" s="66"/>
      <c r="S45" s="66"/>
      <c r="T45" s="66"/>
      <c r="U45" s="66"/>
      <c r="V45" s="66"/>
      <c r="W45" s="66"/>
      <c r="X45" s="66"/>
      <c r="Y45" s="66"/>
    </row>
    <row r="46" spans="1:25" hidden="1" x14ac:dyDescent="0.25">
      <c r="A46" s="66"/>
      <c r="B46" s="66"/>
      <c r="C46" s="66"/>
      <c r="D46" s="66"/>
      <c r="E46" s="66"/>
      <c r="F46" s="66"/>
      <c r="G46" s="66"/>
      <c r="H46" s="66"/>
      <c r="I46" s="66"/>
      <c r="J46" s="66"/>
      <c r="K46" s="66"/>
      <c r="L46" s="66"/>
      <c r="M46" s="66"/>
      <c r="N46" s="66"/>
      <c r="O46" s="66"/>
      <c r="P46" s="66"/>
      <c r="Q46" s="66"/>
      <c r="R46" s="66"/>
      <c r="S46" s="66"/>
      <c r="T46" s="66"/>
      <c r="U46" s="66"/>
      <c r="V46" s="66"/>
      <c r="W46" s="66"/>
      <c r="X46" s="66"/>
      <c r="Y46" s="66"/>
    </row>
    <row r="47" spans="1:25" hidden="1" x14ac:dyDescent="0.25">
      <c r="A47" s="66"/>
      <c r="B47" s="66"/>
      <c r="C47" s="66"/>
      <c r="D47" s="66"/>
      <c r="E47" s="66"/>
      <c r="F47" s="66"/>
      <c r="G47" s="66"/>
      <c r="H47" s="66"/>
      <c r="I47" s="66"/>
      <c r="J47" s="66"/>
      <c r="K47" s="66"/>
      <c r="L47" s="66"/>
      <c r="M47" s="66"/>
      <c r="N47" s="66"/>
      <c r="O47" s="66"/>
      <c r="P47" s="66"/>
      <c r="Q47" s="66"/>
      <c r="R47" s="66"/>
      <c r="S47" s="66"/>
      <c r="T47" s="66"/>
      <c r="U47" s="66"/>
      <c r="V47" s="66"/>
      <c r="W47" s="66"/>
      <c r="X47" s="66"/>
      <c r="Y47" s="66"/>
    </row>
    <row r="48" spans="1:25" hidden="1" x14ac:dyDescent="0.25">
      <c r="A48" s="66"/>
      <c r="B48" s="66"/>
      <c r="C48" s="66"/>
      <c r="D48" s="66"/>
      <c r="E48" s="66"/>
      <c r="F48" s="66"/>
      <c r="G48" s="66"/>
      <c r="H48" s="66"/>
      <c r="I48" s="66"/>
      <c r="J48" s="66"/>
      <c r="K48" s="66"/>
      <c r="L48" s="66"/>
      <c r="M48" s="66"/>
      <c r="N48" s="66"/>
      <c r="O48" s="66"/>
      <c r="P48" s="66"/>
      <c r="Q48" s="66"/>
      <c r="R48" s="66"/>
      <c r="S48" s="66"/>
      <c r="T48" s="66"/>
      <c r="U48" s="66"/>
      <c r="V48" s="66"/>
      <c r="W48" s="66"/>
      <c r="X48" s="66"/>
      <c r="Y48" s="66"/>
    </row>
    <row r="49" spans="1:25" hidden="1" x14ac:dyDescent="0.25">
      <c r="A49" s="66"/>
      <c r="B49" s="66"/>
      <c r="C49" s="66"/>
      <c r="D49" s="66"/>
      <c r="E49" s="66"/>
      <c r="F49" s="66"/>
      <c r="G49" s="66"/>
      <c r="H49" s="66"/>
      <c r="I49" s="66"/>
      <c r="J49" s="66"/>
      <c r="K49" s="66"/>
      <c r="L49" s="66"/>
      <c r="M49" s="66"/>
      <c r="N49" s="66"/>
      <c r="O49" s="66"/>
      <c r="P49" s="66"/>
      <c r="Q49" s="66"/>
      <c r="R49" s="66"/>
      <c r="S49" s="66"/>
      <c r="T49" s="66"/>
      <c r="U49" s="66"/>
      <c r="V49" s="66"/>
      <c r="W49" s="66"/>
      <c r="X49" s="66"/>
      <c r="Y49" s="66"/>
    </row>
    <row r="50" spans="1:25" hidden="1" x14ac:dyDescent="0.25">
      <c r="A50" s="66"/>
      <c r="B50" s="66"/>
      <c r="C50" s="66"/>
      <c r="D50" s="66"/>
      <c r="E50" s="66"/>
      <c r="F50" s="66"/>
      <c r="G50" s="66"/>
      <c r="H50" s="66"/>
      <c r="I50" s="66"/>
      <c r="J50" s="66"/>
      <c r="K50" s="66"/>
      <c r="L50" s="66"/>
      <c r="M50" s="66"/>
      <c r="N50" s="66"/>
      <c r="O50" s="66"/>
      <c r="P50" s="66"/>
      <c r="Q50" s="66"/>
      <c r="R50" s="66"/>
      <c r="S50" s="66"/>
      <c r="T50" s="66"/>
      <c r="U50" s="66"/>
      <c r="V50" s="66"/>
      <c r="W50" s="66"/>
      <c r="X50" s="66"/>
      <c r="Y50" s="66"/>
    </row>
    <row r="51" spans="1:25" hidden="1" x14ac:dyDescent="0.25">
      <c r="A51" s="66"/>
      <c r="B51" s="66"/>
      <c r="C51" s="66"/>
      <c r="D51" s="66"/>
      <c r="E51" s="66"/>
      <c r="F51" s="66"/>
      <c r="G51" s="66"/>
      <c r="H51" s="66"/>
      <c r="I51" s="66"/>
      <c r="J51" s="66"/>
      <c r="K51" s="66"/>
      <c r="L51" s="66"/>
      <c r="M51" s="66"/>
      <c r="N51" s="66"/>
      <c r="O51" s="66"/>
      <c r="P51" s="66"/>
      <c r="Q51" s="66"/>
      <c r="R51" s="66"/>
      <c r="S51" s="66"/>
      <c r="T51" s="66"/>
      <c r="U51" s="66"/>
      <c r="V51" s="66"/>
      <c r="W51" s="66"/>
      <c r="X51" s="66"/>
      <c r="Y51" s="66"/>
    </row>
    <row r="52" spans="1:25" hidden="1" x14ac:dyDescent="0.25">
      <c r="A52" s="66"/>
      <c r="B52" s="66"/>
      <c r="C52" s="66"/>
      <c r="D52" s="66"/>
      <c r="E52" s="66"/>
      <c r="F52" s="66"/>
      <c r="G52" s="66"/>
      <c r="H52" s="66"/>
      <c r="I52" s="66"/>
      <c r="J52" s="66"/>
      <c r="K52" s="66"/>
      <c r="L52" s="66"/>
      <c r="M52" s="66"/>
      <c r="N52" s="66"/>
      <c r="O52" s="66"/>
      <c r="P52" s="66"/>
      <c r="Q52" s="66"/>
      <c r="R52" s="66"/>
      <c r="S52" s="66"/>
      <c r="T52" s="66"/>
      <c r="U52" s="66"/>
      <c r="V52" s="66"/>
      <c r="W52" s="66"/>
      <c r="X52" s="66"/>
      <c r="Y52" s="66"/>
    </row>
    <row r="53" spans="1:25" hidden="1" x14ac:dyDescent="0.25">
      <c r="A53" s="66"/>
      <c r="B53" s="66"/>
      <c r="C53" s="66"/>
      <c r="D53" s="66"/>
      <c r="E53" s="66"/>
      <c r="F53" s="66"/>
      <c r="G53" s="66"/>
      <c r="H53" s="66"/>
      <c r="I53" s="66"/>
      <c r="J53" s="66"/>
      <c r="K53" s="66"/>
      <c r="L53" s="66"/>
      <c r="M53" s="66"/>
      <c r="N53" s="66"/>
      <c r="O53" s="66"/>
      <c r="P53" s="66"/>
      <c r="Q53" s="66"/>
      <c r="R53" s="66"/>
      <c r="S53" s="66"/>
      <c r="T53" s="66"/>
      <c r="U53" s="66"/>
      <c r="V53" s="66"/>
      <c r="W53" s="66"/>
      <c r="X53" s="66"/>
      <c r="Y53" s="66"/>
    </row>
    <row r="54" spans="1:25" hidden="1" x14ac:dyDescent="0.25">
      <c r="A54" s="66"/>
      <c r="B54" s="66"/>
      <c r="C54" s="66"/>
      <c r="D54" s="66"/>
      <c r="E54" s="66"/>
      <c r="F54" s="66"/>
      <c r="G54" s="66"/>
      <c r="H54" s="66"/>
      <c r="I54" s="66"/>
      <c r="J54" s="66"/>
      <c r="K54" s="66"/>
      <c r="L54" s="66"/>
      <c r="M54" s="66"/>
      <c r="N54" s="66"/>
      <c r="O54" s="66"/>
      <c r="P54" s="66"/>
      <c r="Q54" s="66"/>
      <c r="R54" s="66"/>
      <c r="S54" s="66"/>
      <c r="T54" s="66"/>
      <c r="U54" s="66"/>
      <c r="V54" s="66"/>
      <c r="W54" s="66"/>
      <c r="X54" s="66"/>
      <c r="Y54" s="66"/>
    </row>
    <row r="55" spans="1:25" hidden="1" x14ac:dyDescent="0.25">
      <c r="A55" s="66"/>
      <c r="B55" s="66"/>
      <c r="C55" s="66"/>
      <c r="D55" s="66"/>
      <c r="E55" s="66"/>
      <c r="F55" s="66"/>
      <c r="G55" s="66"/>
      <c r="H55" s="66"/>
      <c r="I55" s="66"/>
      <c r="J55" s="66"/>
      <c r="K55" s="66"/>
      <c r="L55" s="66"/>
      <c r="M55" s="66"/>
      <c r="N55" s="66"/>
      <c r="O55" s="66"/>
      <c r="P55" s="66"/>
      <c r="Q55" s="66"/>
      <c r="R55" s="66"/>
      <c r="S55" s="66"/>
      <c r="T55" s="66"/>
      <c r="U55" s="66"/>
      <c r="V55" s="66"/>
      <c r="W55" s="66"/>
      <c r="X55" s="66"/>
      <c r="Y55" s="66"/>
    </row>
    <row r="56" spans="1:25" hidden="1" x14ac:dyDescent="0.25">
      <c r="A56" s="66"/>
      <c r="B56" s="66"/>
      <c r="C56" s="66"/>
      <c r="D56" s="66"/>
      <c r="E56" s="66"/>
      <c r="F56" s="66"/>
      <c r="G56" s="66"/>
      <c r="H56" s="66"/>
      <c r="I56" s="66"/>
      <c r="J56" s="66"/>
      <c r="K56" s="66"/>
      <c r="L56" s="66"/>
      <c r="M56" s="66"/>
      <c r="N56" s="66"/>
      <c r="O56" s="66"/>
      <c r="P56" s="66"/>
      <c r="Q56" s="66"/>
      <c r="R56" s="66"/>
      <c r="S56" s="66"/>
      <c r="T56" s="66"/>
      <c r="U56" s="66"/>
      <c r="V56" s="66"/>
      <c r="W56" s="66"/>
      <c r="X56" s="66"/>
      <c r="Y56" s="66"/>
    </row>
    <row r="57" spans="1:25" hidden="1" x14ac:dyDescent="0.25">
      <c r="A57" s="66"/>
      <c r="B57" s="66"/>
      <c r="C57" s="66"/>
      <c r="D57" s="66"/>
      <c r="E57" s="66"/>
      <c r="F57" s="66"/>
      <c r="G57" s="66"/>
      <c r="H57" s="66"/>
      <c r="I57" s="66"/>
      <c r="J57" s="66"/>
      <c r="K57" s="66"/>
      <c r="L57" s="66"/>
      <c r="M57" s="66"/>
      <c r="N57" s="66"/>
      <c r="O57" s="66"/>
      <c r="P57" s="66"/>
      <c r="Q57" s="66"/>
      <c r="R57" s="66"/>
      <c r="S57" s="66"/>
      <c r="T57" s="66"/>
      <c r="U57" s="66"/>
      <c r="V57" s="66"/>
      <c r="W57" s="66"/>
      <c r="X57" s="66"/>
      <c r="Y57" s="66"/>
    </row>
    <row r="58" spans="1:25" hidden="1" x14ac:dyDescent="0.25">
      <c r="A58" s="66"/>
      <c r="B58" s="66"/>
      <c r="C58" s="66"/>
      <c r="D58" s="66"/>
      <c r="E58" s="66"/>
      <c r="F58" s="66"/>
      <c r="G58" s="66"/>
      <c r="H58" s="66"/>
      <c r="I58" s="66"/>
      <c r="J58" s="66"/>
      <c r="K58" s="66"/>
      <c r="L58" s="66"/>
      <c r="M58" s="66"/>
      <c r="N58" s="66"/>
      <c r="O58" s="66"/>
      <c r="P58" s="66"/>
      <c r="Q58" s="66"/>
      <c r="R58" s="66"/>
      <c r="S58" s="66"/>
      <c r="T58" s="66"/>
      <c r="U58" s="66"/>
      <c r="V58" s="66"/>
      <c r="W58" s="66"/>
      <c r="X58" s="66"/>
      <c r="Y58" s="66"/>
    </row>
  </sheetData>
  <mergeCells count="9">
    <mergeCell ref="B36:M36"/>
    <mergeCell ref="B35:M35"/>
    <mergeCell ref="B33:M33"/>
    <mergeCell ref="B34:M34"/>
    <mergeCell ref="B5:L7"/>
    <mergeCell ref="B30:M30"/>
    <mergeCell ref="B29:M29"/>
    <mergeCell ref="B32:M32"/>
    <mergeCell ref="B31:M31"/>
  </mergeCells>
  <phoneticPr fontId="30" type="noConversion"/>
  <printOptions horizontalCentered="1" headings="1"/>
  <pageMargins left="0.5" right="0.5" top="1.25" bottom="1" header="0.5" footer="0.5"/>
  <pageSetup scale="53" fitToHeight="0" orientation="landscape" r:id="rId1"/>
  <headerFooter scaleWithDoc="0">
    <oddHeader>&amp;R&amp;"Arial,Bold"ICC Docket No. 17-0312
Statewide Quarterly Report ComEd 2019 Q4
Tab: &amp;A</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89318521683403E-2"/>
    <pageSetUpPr fitToPage="1"/>
  </sheetPr>
  <dimension ref="A1:M57"/>
  <sheetViews>
    <sheetView topLeftCell="A9" workbookViewId="0">
      <selection activeCell="B15" sqref="B15:F15"/>
    </sheetView>
  </sheetViews>
  <sheetFormatPr defaultColWidth="0" defaultRowHeight="15" zeroHeight="1" x14ac:dyDescent="0.25"/>
  <cols>
    <col min="1" max="1" width="2.5703125" customWidth="1"/>
    <col min="2" max="2" width="4.5703125" style="3" customWidth="1"/>
    <col min="3" max="3" width="4.5703125" customWidth="1"/>
    <col min="4" max="4" width="76.5703125" customWidth="1"/>
    <col min="5" max="5" width="15.140625" customWidth="1"/>
    <col min="6" max="6" width="44.140625" customWidth="1"/>
    <col min="7" max="7" width="30.7109375" bestFit="1" customWidth="1"/>
    <col min="8" max="8" width="10.5703125" bestFit="1" customWidth="1"/>
    <col min="9" max="10" width="9.140625" customWidth="1"/>
    <col min="11" max="11" width="9.140625" hidden="1" customWidth="1"/>
    <col min="12" max="13" width="0" hidden="1" customWidth="1"/>
    <col min="14" max="16384" width="9.140625" hidden="1"/>
  </cols>
  <sheetData>
    <row r="1" spans="1:13" ht="16.5" customHeight="1" x14ac:dyDescent="0.3">
      <c r="A1" s="66"/>
      <c r="B1" s="73" t="s">
        <v>0</v>
      </c>
      <c r="C1" s="66"/>
      <c r="D1" s="66"/>
      <c r="E1" s="92"/>
      <c r="F1" s="92"/>
      <c r="G1" s="66"/>
      <c r="H1" s="66"/>
      <c r="I1" s="66"/>
      <c r="J1" s="66"/>
      <c r="K1" s="66"/>
      <c r="L1" s="66"/>
      <c r="M1" s="66"/>
    </row>
    <row r="2" spans="1:13" ht="14.25" customHeight="1" x14ac:dyDescent="0.3">
      <c r="A2" s="66"/>
      <c r="B2" s="73" t="s">
        <v>553</v>
      </c>
      <c r="C2" s="66"/>
      <c r="D2" s="66"/>
      <c r="E2" s="93"/>
      <c r="F2" s="93"/>
      <c r="G2" s="66"/>
      <c r="H2" s="66"/>
      <c r="I2" s="66"/>
      <c r="J2" s="66"/>
      <c r="K2" s="66"/>
      <c r="L2" s="66"/>
      <c r="M2" s="66"/>
    </row>
    <row r="3" spans="1:13" ht="15.75" x14ac:dyDescent="0.25">
      <c r="A3" s="66"/>
      <c r="B3" s="73"/>
      <c r="C3" s="66"/>
      <c r="D3" s="66"/>
      <c r="E3" s="94"/>
      <c r="F3" s="94"/>
      <c r="G3" s="66"/>
      <c r="H3" s="66"/>
      <c r="I3" s="66"/>
      <c r="J3" s="66"/>
      <c r="K3" s="66"/>
      <c r="L3" s="66"/>
      <c r="M3" s="66"/>
    </row>
    <row r="4" spans="1:13" ht="18.75" x14ac:dyDescent="0.3">
      <c r="A4" s="66"/>
      <c r="B4" s="95"/>
      <c r="C4" s="66"/>
      <c r="D4" s="66"/>
      <c r="E4" s="94"/>
      <c r="F4" s="94"/>
      <c r="G4" s="66"/>
      <c r="H4" s="66"/>
      <c r="I4" s="66"/>
      <c r="J4" s="66"/>
      <c r="K4" s="66"/>
      <c r="L4" s="66"/>
      <c r="M4" s="66"/>
    </row>
    <row r="5" spans="1:13" ht="22.5" customHeight="1" x14ac:dyDescent="0.25">
      <c r="A5" s="66"/>
      <c r="B5" s="509" t="s">
        <v>554</v>
      </c>
      <c r="C5" s="509"/>
      <c r="D5" s="509"/>
      <c r="E5" s="96"/>
      <c r="F5" s="96"/>
      <c r="G5" s="96"/>
      <c r="H5" s="96"/>
      <c r="I5" s="96"/>
      <c r="J5" s="96"/>
      <c r="K5" s="96"/>
      <c r="L5" s="66"/>
      <c r="M5" s="66"/>
    </row>
    <row r="6" spans="1:13" ht="27" customHeight="1" x14ac:dyDescent="0.25">
      <c r="A6" s="66"/>
      <c r="B6" s="509"/>
      <c r="C6" s="509"/>
      <c r="D6" s="509"/>
      <c r="E6" s="96"/>
      <c r="F6" s="96"/>
      <c r="G6" s="96"/>
      <c r="H6" s="96"/>
      <c r="I6" s="96"/>
      <c r="J6" s="96"/>
      <c r="K6" s="96"/>
      <c r="L6" s="66"/>
      <c r="M6" s="66"/>
    </row>
    <row r="7" spans="1:13" ht="22.5" customHeight="1" x14ac:dyDescent="0.25">
      <c r="A7" s="66"/>
      <c r="B7" s="97"/>
      <c r="C7" s="97"/>
      <c r="D7" s="97"/>
      <c r="E7" s="96"/>
      <c r="F7" s="96"/>
      <c r="G7" s="96"/>
      <c r="H7" s="96"/>
      <c r="I7" s="96"/>
      <c r="J7" s="96"/>
      <c r="K7" s="96"/>
      <c r="L7" s="66"/>
      <c r="M7" s="66"/>
    </row>
    <row r="8" spans="1:13" ht="22.5" customHeight="1" x14ac:dyDescent="0.25">
      <c r="A8" s="66"/>
      <c r="B8" s="553" t="s">
        <v>555</v>
      </c>
      <c r="C8" s="553"/>
      <c r="D8" s="553"/>
      <c r="E8" s="96"/>
      <c r="F8" s="96"/>
      <c r="G8" s="96"/>
      <c r="H8" s="96"/>
      <c r="I8" s="96"/>
      <c r="J8" s="96"/>
      <c r="K8" s="96"/>
      <c r="L8" s="66"/>
      <c r="M8" s="66"/>
    </row>
    <row r="9" spans="1:13" ht="21" customHeight="1" x14ac:dyDescent="0.25">
      <c r="A9" s="66"/>
      <c r="B9" s="562" t="s">
        <v>556</v>
      </c>
      <c r="C9" s="562"/>
      <c r="D9" s="562"/>
      <c r="E9" s="97"/>
      <c r="F9" s="97"/>
      <c r="G9" s="97"/>
      <c r="H9" s="97"/>
      <c r="I9" s="97"/>
      <c r="J9" s="97"/>
      <c r="K9" s="97"/>
      <c r="L9" s="66"/>
      <c r="M9" s="66"/>
    </row>
    <row r="10" spans="1:13" ht="21" customHeight="1" x14ac:dyDescent="0.25">
      <c r="A10" s="66"/>
      <c r="B10" s="546" t="s">
        <v>557</v>
      </c>
      <c r="C10" s="546"/>
      <c r="D10" s="546"/>
      <c r="E10" s="97"/>
      <c r="F10" s="97"/>
      <c r="G10" s="97"/>
      <c r="H10" s="97"/>
      <c r="I10" s="97"/>
      <c r="J10" s="97"/>
      <c r="K10" s="97"/>
      <c r="L10" s="66"/>
      <c r="M10" s="66"/>
    </row>
    <row r="11" spans="1:13" ht="21" customHeight="1" x14ac:dyDescent="0.25">
      <c r="A11" s="66"/>
      <c r="B11" s="547" t="s">
        <v>558</v>
      </c>
      <c r="C11" s="547"/>
      <c r="D11" s="547"/>
      <c r="E11" s="97"/>
      <c r="F11" s="97"/>
      <c r="G11" s="97"/>
      <c r="H11" s="97"/>
      <c r="I11" s="97"/>
      <c r="J11" s="97"/>
      <c r="K11" s="97"/>
      <c r="L11" s="66"/>
      <c r="M11" s="66"/>
    </row>
    <row r="12" spans="1:13" ht="21" customHeight="1" x14ac:dyDescent="0.25">
      <c r="A12" s="66"/>
      <c r="B12" s="111"/>
      <c r="C12" s="111"/>
      <c r="D12" s="111"/>
      <c r="E12" s="97"/>
      <c r="F12" s="97"/>
      <c r="G12" s="97"/>
      <c r="H12" s="97"/>
      <c r="I12" s="97"/>
      <c r="J12" s="97"/>
      <c r="K12" s="97"/>
      <c r="L12" s="66"/>
      <c r="M12" s="66"/>
    </row>
    <row r="13" spans="1:13" ht="21" customHeight="1" x14ac:dyDescent="0.25">
      <c r="A13" s="66"/>
      <c r="B13" s="112" t="s">
        <v>559</v>
      </c>
      <c r="C13" s="111"/>
      <c r="D13" s="111"/>
      <c r="E13" s="97"/>
      <c r="F13" s="97"/>
      <c r="G13" s="97"/>
      <c r="H13" s="97"/>
      <c r="I13" s="97"/>
      <c r="J13" s="97"/>
      <c r="K13" s="97"/>
      <c r="L13" s="66"/>
      <c r="M13" s="66"/>
    </row>
    <row r="14" spans="1:13" ht="21" customHeight="1" x14ac:dyDescent="0.25">
      <c r="A14" s="66"/>
      <c r="B14" s="229" t="str">
        <f>'1- Ex Ante Results'!C19</f>
        <v>CY2024 Q3</v>
      </c>
      <c r="C14" s="228"/>
      <c r="D14" s="228"/>
      <c r="E14" s="97"/>
      <c r="F14" s="97"/>
      <c r="G14" s="97"/>
      <c r="H14" s="97"/>
      <c r="I14" s="97"/>
      <c r="J14" s="97"/>
      <c r="K14" s="97"/>
      <c r="L14" s="66"/>
      <c r="M14" s="66"/>
    </row>
    <row r="15" spans="1:13" ht="18" customHeight="1" x14ac:dyDescent="0.25">
      <c r="A15" s="66"/>
      <c r="B15" s="554" t="e">
        <f>"Cumulative Persisting Annual Savings (CPAS) Goal Progress "&amp;#REF!</f>
        <v>#REF!</v>
      </c>
      <c r="C15" s="554"/>
      <c r="D15" s="554"/>
      <c r="E15" s="554"/>
      <c r="F15" s="554"/>
      <c r="G15" s="66"/>
      <c r="H15" s="66"/>
      <c r="I15" s="66"/>
      <c r="J15" s="66"/>
      <c r="K15" s="66"/>
      <c r="L15" s="66"/>
      <c r="M15" s="66"/>
    </row>
    <row r="16" spans="1:13" ht="16.5" x14ac:dyDescent="0.25">
      <c r="A16" s="66"/>
      <c r="B16" s="45" t="s">
        <v>560</v>
      </c>
      <c r="C16" s="544" t="s">
        <v>561</v>
      </c>
      <c r="D16" s="545"/>
      <c r="E16" s="170">
        <v>0.157</v>
      </c>
      <c r="F16" s="59" t="s">
        <v>562</v>
      </c>
      <c r="G16" s="66"/>
      <c r="H16" s="66"/>
      <c r="I16" s="66"/>
      <c r="J16" s="66"/>
      <c r="K16" s="66"/>
      <c r="L16" s="66"/>
      <c r="M16" s="66"/>
    </row>
    <row r="17" spans="1:13" ht="16.5" x14ac:dyDescent="0.25">
      <c r="A17" s="66"/>
      <c r="B17" s="45" t="s">
        <v>563</v>
      </c>
      <c r="C17" s="544" t="s">
        <v>564</v>
      </c>
      <c r="D17" s="545"/>
      <c r="E17" s="171">
        <v>83000528.09633334</v>
      </c>
      <c r="F17" s="59" t="s">
        <v>562</v>
      </c>
      <c r="G17" s="110"/>
      <c r="H17" s="66"/>
      <c r="I17" s="66"/>
      <c r="J17" s="66"/>
      <c r="K17" s="66"/>
      <c r="L17" s="66"/>
      <c r="M17" s="66"/>
    </row>
    <row r="18" spans="1:13" ht="16.5" x14ac:dyDescent="0.25">
      <c r="A18" s="66"/>
      <c r="B18" s="45" t="s">
        <v>565</v>
      </c>
      <c r="C18" s="544" t="s">
        <v>566</v>
      </c>
      <c r="D18" s="545"/>
      <c r="E18" s="172">
        <f>E17*E16</f>
        <v>13031082.911124334</v>
      </c>
      <c r="F18" s="60" t="s">
        <v>567</v>
      </c>
      <c r="G18" s="66"/>
      <c r="H18" s="66"/>
      <c r="I18" s="66"/>
      <c r="J18" s="66"/>
      <c r="K18" s="66"/>
      <c r="L18" s="66"/>
      <c r="M18" s="66"/>
    </row>
    <row r="19" spans="1:13" ht="16.5" x14ac:dyDescent="0.25">
      <c r="A19" s="66"/>
      <c r="B19" s="45" t="s">
        <v>568</v>
      </c>
      <c r="C19" s="544" t="s">
        <v>569</v>
      </c>
      <c r="D19" s="545"/>
      <c r="E19" s="173">
        <v>12042306.217</v>
      </c>
      <c r="F19" s="61" t="s">
        <v>570</v>
      </c>
      <c r="G19" s="66"/>
      <c r="H19" s="68"/>
      <c r="I19" s="66"/>
      <c r="J19" s="66"/>
      <c r="K19" s="66"/>
      <c r="L19" s="66"/>
      <c r="M19" s="66"/>
    </row>
    <row r="20" spans="1:13" ht="16.5" customHeight="1" x14ac:dyDescent="0.25">
      <c r="A20" s="66"/>
      <c r="B20" s="45"/>
      <c r="C20" s="559" t="s">
        <v>571</v>
      </c>
      <c r="D20" s="560"/>
      <c r="E20" s="560"/>
      <c r="F20" s="561"/>
      <c r="G20" s="66"/>
      <c r="H20" s="66"/>
      <c r="I20" s="66"/>
      <c r="J20" s="66"/>
      <c r="K20" s="66"/>
      <c r="L20" s="66"/>
      <c r="M20" s="66"/>
    </row>
    <row r="21" spans="1:13" ht="16.5" x14ac:dyDescent="0.25">
      <c r="A21" s="66"/>
      <c r="B21" s="45" t="s">
        <v>572</v>
      </c>
      <c r="C21" s="540" t="s">
        <v>573</v>
      </c>
      <c r="D21" s="541"/>
      <c r="E21" s="170">
        <v>2.8000000000000001E-2</v>
      </c>
      <c r="F21" s="59" t="s">
        <v>574</v>
      </c>
      <c r="G21" s="66"/>
      <c r="H21" s="66"/>
      <c r="I21" s="66"/>
      <c r="J21" s="66"/>
      <c r="K21" s="66"/>
      <c r="L21" s="66"/>
      <c r="M21" s="66"/>
    </row>
    <row r="22" spans="1:13" ht="16.5" x14ac:dyDescent="0.25">
      <c r="A22" s="66"/>
      <c r="B22" s="45" t="s">
        <v>575</v>
      </c>
      <c r="C22" s="540" t="s">
        <v>576</v>
      </c>
      <c r="D22" s="541"/>
      <c r="E22" s="170">
        <v>3.1E-2</v>
      </c>
      <c r="F22" s="59" t="s">
        <v>574</v>
      </c>
      <c r="G22" s="66"/>
      <c r="H22" s="69"/>
      <c r="I22" s="66"/>
      <c r="J22" s="106"/>
      <c r="K22" s="66"/>
      <c r="L22" s="66"/>
      <c r="M22" s="66"/>
    </row>
    <row r="23" spans="1:13" ht="16.5" x14ac:dyDescent="0.25">
      <c r="A23" s="66"/>
      <c r="B23" s="45" t="s">
        <v>577</v>
      </c>
      <c r="C23" s="540" t="s">
        <v>578</v>
      </c>
      <c r="D23" s="541"/>
      <c r="E23" s="174">
        <f>E22-E21</f>
        <v>2.9999999999999992E-3</v>
      </c>
      <c r="F23" s="60" t="s">
        <v>579</v>
      </c>
      <c r="G23" s="66"/>
      <c r="H23" s="66"/>
      <c r="I23" s="66"/>
      <c r="J23" s="66"/>
      <c r="K23" s="66"/>
      <c r="L23" s="66"/>
      <c r="M23" s="66"/>
    </row>
    <row r="24" spans="1:13" ht="16.5" x14ac:dyDescent="0.25">
      <c r="A24" s="71"/>
      <c r="B24" s="45" t="s">
        <v>580</v>
      </c>
      <c r="C24" s="540" t="s">
        <v>581</v>
      </c>
      <c r="D24" s="541"/>
      <c r="E24" s="172">
        <f>E23*E17</f>
        <v>249001.58428899996</v>
      </c>
      <c r="F24" s="60" t="s">
        <v>582</v>
      </c>
      <c r="G24" s="66"/>
      <c r="H24" s="66"/>
      <c r="I24" s="66"/>
      <c r="J24" s="66"/>
      <c r="K24" s="66"/>
      <c r="L24" s="66"/>
      <c r="M24" s="66"/>
    </row>
    <row r="25" spans="1:13" ht="16.5" x14ac:dyDescent="0.25">
      <c r="A25" s="66"/>
      <c r="B25" s="45" t="s">
        <v>583</v>
      </c>
      <c r="C25" s="540" t="s">
        <v>584</v>
      </c>
      <c r="D25" s="541"/>
      <c r="E25" s="173">
        <v>506459.74099999998</v>
      </c>
      <c r="F25" s="61" t="s">
        <v>570</v>
      </c>
      <c r="G25" s="66"/>
      <c r="H25" s="66"/>
      <c r="I25" s="66"/>
      <c r="J25" s="66"/>
      <c r="K25" s="66"/>
      <c r="L25" s="66"/>
      <c r="M25" s="66"/>
    </row>
    <row r="26" spans="1:13" ht="16.5" x14ac:dyDescent="0.25">
      <c r="A26" s="66"/>
      <c r="B26" s="45" t="s">
        <v>585</v>
      </c>
      <c r="C26" s="542" t="s">
        <v>586</v>
      </c>
      <c r="D26" s="543"/>
      <c r="E26" s="175">
        <f>E24+E25</f>
        <v>755461.32528899994</v>
      </c>
      <c r="F26" s="60" t="s">
        <v>587</v>
      </c>
      <c r="G26" s="66"/>
      <c r="H26" s="66"/>
      <c r="I26" s="66"/>
      <c r="J26" s="66"/>
      <c r="K26" s="66"/>
      <c r="L26" s="66"/>
      <c r="M26" s="66"/>
    </row>
    <row r="27" spans="1:13" ht="16.5" x14ac:dyDescent="0.25">
      <c r="A27" s="66"/>
      <c r="B27" s="45" t="s">
        <v>588</v>
      </c>
      <c r="C27" s="544" t="s">
        <v>589</v>
      </c>
      <c r="D27" s="545"/>
      <c r="E27" s="172">
        <f>E18-E19+E26</f>
        <v>1744238.0194133334</v>
      </c>
      <c r="F27" s="60" t="s">
        <v>590</v>
      </c>
      <c r="G27" s="66"/>
      <c r="H27" s="66"/>
      <c r="I27" s="66"/>
      <c r="J27" s="66"/>
      <c r="K27" s="66"/>
      <c r="L27" s="66"/>
      <c r="M27" s="66"/>
    </row>
    <row r="28" spans="1:13" ht="16.5" x14ac:dyDescent="0.25">
      <c r="A28" s="66"/>
      <c r="B28" s="45" t="s">
        <v>591</v>
      </c>
      <c r="C28" s="544" t="s">
        <v>592</v>
      </c>
      <c r="D28" s="545"/>
      <c r="E28" s="176">
        <f>'1- Ex Ante Results'!D116</f>
        <v>1363963.6698318999</v>
      </c>
      <c r="F28" s="61" t="s">
        <v>593</v>
      </c>
      <c r="G28" s="70"/>
      <c r="H28" s="66"/>
      <c r="I28" s="66"/>
      <c r="J28" s="66"/>
      <c r="K28" s="66"/>
      <c r="L28" s="66"/>
      <c r="M28" s="66"/>
    </row>
    <row r="29" spans="1:13" ht="16.5" x14ac:dyDescent="0.25">
      <c r="A29" s="66"/>
      <c r="B29" s="45" t="s">
        <v>594</v>
      </c>
      <c r="C29" s="544" t="s">
        <v>595</v>
      </c>
      <c r="D29" s="545"/>
      <c r="E29" s="176">
        <f>'1- Ex Ante Results'!D116</f>
        <v>1363963.6698318999</v>
      </c>
      <c r="F29" s="61" t="s">
        <v>596</v>
      </c>
      <c r="G29" s="70"/>
      <c r="H29" s="66"/>
      <c r="I29" s="66"/>
      <c r="J29" s="66"/>
      <c r="K29" s="66"/>
      <c r="L29" s="66"/>
      <c r="M29" s="66"/>
    </row>
    <row r="30" spans="1:13" ht="27" customHeight="1" x14ac:dyDescent="0.25">
      <c r="A30" s="66"/>
      <c r="B30" s="45" t="s">
        <v>597</v>
      </c>
      <c r="C30" s="555" t="s">
        <v>598</v>
      </c>
      <c r="D30" s="556"/>
      <c r="E30" s="177">
        <f>E29/E27</f>
        <v>0.78198253601344092</v>
      </c>
      <c r="F30" s="60" t="s">
        <v>599</v>
      </c>
      <c r="G30" s="66"/>
      <c r="H30" s="66"/>
      <c r="I30" s="66"/>
      <c r="J30" s="66"/>
      <c r="K30" s="66"/>
      <c r="L30" s="66"/>
      <c r="M30" s="66"/>
    </row>
    <row r="31" spans="1:13" ht="18" customHeight="1" x14ac:dyDescent="0.25">
      <c r="A31" s="66"/>
      <c r="B31" s="548" t="s">
        <v>600</v>
      </c>
      <c r="C31" s="548"/>
      <c r="D31" s="548"/>
      <c r="E31" s="548"/>
      <c r="F31" s="548"/>
      <c r="G31" s="66"/>
      <c r="H31" s="66"/>
      <c r="I31" s="66"/>
      <c r="J31" s="66"/>
      <c r="K31" s="66"/>
      <c r="L31" s="66"/>
      <c r="M31" s="66"/>
    </row>
    <row r="32" spans="1:13" ht="16.5" x14ac:dyDescent="0.3">
      <c r="A32" s="66"/>
      <c r="B32" s="45" t="s">
        <v>601</v>
      </c>
      <c r="C32" s="557" t="s">
        <v>602</v>
      </c>
      <c r="D32" s="558"/>
      <c r="E32" s="170">
        <v>0.14399999999999999</v>
      </c>
      <c r="F32" s="43" t="s">
        <v>562</v>
      </c>
      <c r="G32" s="66"/>
      <c r="H32" s="66"/>
      <c r="I32" s="66"/>
      <c r="J32" s="98"/>
      <c r="K32" s="66"/>
      <c r="L32" s="66"/>
      <c r="M32" s="66"/>
    </row>
    <row r="33" spans="1:13" ht="16.5" x14ac:dyDescent="0.3">
      <c r="A33" s="66"/>
      <c r="B33" s="45" t="s">
        <v>603</v>
      </c>
      <c r="C33" s="557" t="s">
        <v>604</v>
      </c>
      <c r="D33" s="558"/>
      <c r="E33" s="178">
        <v>11952076.045871994</v>
      </c>
      <c r="F33" s="44" t="s">
        <v>605</v>
      </c>
      <c r="G33" s="66"/>
      <c r="H33" s="66"/>
      <c r="I33" s="66"/>
      <c r="J33" s="66"/>
      <c r="K33" s="66"/>
      <c r="L33" s="66"/>
      <c r="M33" s="66"/>
    </row>
    <row r="34" spans="1:13" ht="16.5" x14ac:dyDescent="0.3">
      <c r="A34" s="66"/>
      <c r="B34" s="45" t="s">
        <v>606</v>
      </c>
      <c r="C34" s="42" t="s">
        <v>607</v>
      </c>
      <c r="D34" s="42"/>
      <c r="E34" s="178">
        <f>E18-E33</f>
        <v>1079006.8652523402</v>
      </c>
      <c r="F34" s="44" t="s">
        <v>608</v>
      </c>
      <c r="G34" s="66"/>
      <c r="H34" s="66"/>
      <c r="I34" s="66"/>
      <c r="J34" s="66"/>
      <c r="K34" s="66"/>
      <c r="L34" s="66"/>
      <c r="M34" s="66"/>
    </row>
    <row r="35" spans="1:13" ht="16.5" x14ac:dyDescent="0.3">
      <c r="A35" s="66"/>
      <c r="B35" s="45" t="s">
        <v>609</v>
      </c>
      <c r="C35" s="42" t="s">
        <v>610</v>
      </c>
      <c r="D35" s="42"/>
      <c r="E35" s="178">
        <f>E34+E26</f>
        <v>1834468.19054134</v>
      </c>
      <c r="F35" s="44" t="s">
        <v>611</v>
      </c>
      <c r="G35" s="67"/>
      <c r="H35" s="66"/>
      <c r="I35" s="66"/>
      <c r="J35" s="66"/>
      <c r="K35" s="66"/>
      <c r="L35" s="66"/>
      <c r="M35" s="66"/>
    </row>
    <row r="36" spans="1:13" ht="16.5" x14ac:dyDescent="0.3">
      <c r="A36" s="66"/>
      <c r="B36" s="45" t="s">
        <v>612</v>
      </c>
      <c r="C36" s="42" t="s">
        <v>613</v>
      </c>
      <c r="D36" s="42"/>
      <c r="E36" s="178">
        <f>E29</f>
        <v>1363963.6698318999</v>
      </c>
      <c r="F36" s="44" t="s">
        <v>614</v>
      </c>
      <c r="G36" s="66"/>
      <c r="H36" s="67"/>
      <c r="I36" s="66"/>
      <c r="J36" s="66"/>
      <c r="K36" s="66"/>
      <c r="L36" s="66"/>
      <c r="M36" s="66"/>
    </row>
    <row r="37" spans="1:13" ht="32.85" customHeight="1" x14ac:dyDescent="0.25">
      <c r="A37" s="66"/>
      <c r="B37" s="45" t="s">
        <v>615</v>
      </c>
      <c r="C37" s="549" t="s">
        <v>616</v>
      </c>
      <c r="D37" s="550"/>
      <c r="E37" s="179">
        <f>E26</f>
        <v>755461.32528899994</v>
      </c>
      <c r="F37" s="44" t="s">
        <v>617</v>
      </c>
      <c r="G37" s="66"/>
      <c r="H37" s="66"/>
      <c r="I37" s="66"/>
      <c r="J37" s="66"/>
      <c r="K37" s="66"/>
      <c r="L37" s="66"/>
      <c r="M37" s="66"/>
    </row>
    <row r="38" spans="1:13" ht="16.5" x14ac:dyDescent="0.25">
      <c r="A38" s="66"/>
      <c r="B38" s="45" t="s">
        <v>618</v>
      </c>
      <c r="C38" s="549" t="s">
        <v>619</v>
      </c>
      <c r="D38" s="550"/>
      <c r="E38" s="178">
        <f>E36-E37</f>
        <v>608502.34454289998</v>
      </c>
      <c r="F38" s="44" t="s">
        <v>620</v>
      </c>
      <c r="G38" s="66"/>
      <c r="H38" s="66"/>
      <c r="I38" s="66"/>
      <c r="J38" s="66"/>
      <c r="K38" s="66"/>
      <c r="L38" s="66"/>
      <c r="M38" s="66"/>
    </row>
    <row r="39" spans="1:13" ht="30" customHeight="1" x14ac:dyDescent="0.25">
      <c r="A39" s="66"/>
      <c r="B39" s="45" t="s">
        <v>621</v>
      </c>
      <c r="C39" s="538" t="s">
        <v>622</v>
      </c>
      <c r="D39" s="539"/>
      <c r="E39" s="180">
        <f>E38/E34</f>
        <v>0.56394668480686039</v>
      </c>
      <c r="F39" s="44" t="s">
        <v>623</v>
      </c>
      <c r="G39" s="66"/>
      <c r="H39" s="66"/>
      <c r="I39" s="66"/>
      <c r="J39" s="66"/>
      <c r="K39" s="66"/>
      <c r="L39" s="66"/>
      <c r="M39" s="66"/>
    </row>
    <row r="40" spans="1:13" ht="16.5" x14ac:dyDescent="0.3">
      <c r="A40" s="66"/>
      <c r="B40" s="98"/>
      <c r="C40" s="99"/>
      <c r="D40" s="99"/>
      <c r="E40" s="100"/>
      <c r="F40" s="101"/>
      <c r="G40" s="66"/>
      <c r="H40" s="66"/>
      <c r="I40" s="66"/>
      <c r="J40" s="66"/>
      <c r="K40" s="66"/>
      <c r="L40" s="66"/>
      <c r="M40" s="66"/>
    </row>
    <row r="41" spans="1:13" x14ac:dyDescent="0.25">
      <c r="A41" s="66"/>
      <c r="B41" s="102" t="s">
        <v>197</v>
      </c>
      <c r="C41" s="103"/>
      <c r="D41" s="102"/>
      <c r="E41" s="102"/>
      <c r="F41" s="104"/>
      <c r="G41" s="107"/>
      <c r="H41" s="107"/>
      <c r="I41" s="107"/>
      <c r="J41" s="104"/>
      <c r="K41" s="104"/>
      <c r="L41" s="108"/>
      <c r="M41" s="66"/>
    </row>
    <row r="42" spans="1:13" ht="39" customHeight="1" x14ac:dyDescent="0.25">
      <c r="A42" s="66"/>
      <c r="B42" s="551" t="s">
        <v>624</v>
      </c>
      <c r="C42" s="552"/>
      <c r="D42" s="552"/>
      <c r="E42" s="552"/>
      <c r="F42" s="552"/>
      <c r="G42" s="109"/>
      <c r="H42" s="109"/>
      <c r="I42" s="109"/>
      <c r="J42" s="109"/>
      <c r="K42" s="109"/>
      <c r="L42" s="109"/>
      <c r="M42" s="66"/>
    </row>
    <row r="43" spans="1:13" ht="14.85" customHeight="1" x14ac:dyDescent="0.25">
      <c r="A43" s="66"/>
      <c r="B43" s="551" t="s">
        <v>625</v>
      </c>
      <c r="C43" s="552"/>
      <c r="D43" s="552"/>
      <c r="E43" s="552"/>
      <c r="F43" s="552"/>
      <c r="G43" s="66"/>
      <c r="H43" s="66"/>
      <c r="I43" s="66"/>
      <c r="J43" s="66"/>
      <c r="K43" s="66"/>
      <c r="L43" s="66"/>
      <c r="M43" s="66"/>
    </row>
    <row r="44" spans="1:13" x14ac:dyDescent="0.25">
      <c r="A44" s="66"/>
      <c r="B44" s="105"/>
      <c r="C44" s="66"/>
      <c r="D44" s="66"/>
      <c r="E44" s="66"/>
      <c r="F44" s="66"/>
      <c r="G44" s="66"/>
      <c r="H44" s="66"/>
      <c r="I44" s="66"/>
      <c r="J44" s="66"/>
      <c r="K44" s="66"/>
      <c r="L44" s="66"/>
      <c r="M44" s="66"/>
    </row>
    <row r="45" spans="1:13" x14ac:dyDescent="0.25">
      <c r="A45" s="66"/>
      <c r="B45" s="105"/>
      <c r="C45" s="66"/>
      <c r="D45" s="66"/>
      <c r="E45" s="66"/>
      <c r="F45" s="66"/>
      <c r="G45" s="66"/>
      <c r="H45" s="66"/>
      <c r="I45" s="66"/>
      <c r="J45" s="66"/>
      <c r="K45" s="66"/>
      <c r="L45" s="66"/>
      <c r="M45" s="66"/>
    </row>
    <row r="46" spans="1:13" x14ac:dyDescent="0.25">
      <c r="A46" s="66"/>
      <c r="B46" s="105"/>
      <c r="C46" s="66"/>
      <c r="D46" s="66"/>
      <c r="E46" s="66"/>
      <c r="F46" s="66"/>
      <c r="G46" s="66"/>
      <c r="H46" s="66"/>
      <c r="I46" s="66"/>
      <c r="J46" s="66"/>
      <c r="K46" s="66"/>
      <c r="L46" s="66"/>
      <c r="M46" s="66"/>
    </row>
    <row r="47" spans="1:13" x14ac:dyDescent="0.25">
      <c r="A47" s="66"/>
      <c r="B47" s="105"/>
      <c r="C47" s="66"/>
      <c r="D47" s="66"/>
      <c r="E47" s="66"/>
      <c r="F47" s="66"/>
      <c r="G47" s="66"/>
      <c r="H47" s="66"/>
      <c r="I47" s="66"/>
      <c r="J47" s="66"/>
      <c r="K47" s="66"/>
      <c r="L47" s="66"/>
      <c r="M47" s="66"/>
    </row>
    <row r="48" spans="1:13" x14ac:dyDescent="0.25">
      <c r="A48" s="66"/>
      <c r="B48" s="105"/>
      <c r="C48" s="66"/>
      <c r="D48" s="66"/>
      <c r="E48" s="66"/>
      <c r="F48" s="66"/>
      <c r="G48" s="66"/>
      <c r="H48" s="66"/>
      <c r="I48" s="66"/>
      <c r="J48" s="66"/>
      <c r="K48" s="66"/>
      <c r="L48" s="66"/>
      <c r="M48" s="66"/>
    </row>
    <row r="49" spans="1:13" x14ac:dyDescent="0.25">
      <c r="A49" s="66"/>
      <c r="B49" s="105"/>
      <c r="C49" s="66"/>
      <c r="D49" s="66"/>
      <c r="E49" s="66"/>
      <c r="F49" s="66"/>
      <c r="G49" s="66"/>
      <c r="H49" s="66"/>
      <c r="I49" s="66"/>
      <c r="J49" s="66"/>
      <c r="K49" s="66"/>
      <c r="L49" s="66"/>
      <c r="M49" s="66"/>
    </row>
    <row r="50" spans="1:13" x14ac:dyDescent="0.25">
      <c r="A50" s="66"/>
      <c r="B50" s="105"/>
      <c r="C50" s="66"/>
      <c r="D50" s="66"/>
      <c r="E50" s="66"/>
      <c r="F50" s="66"/>
      <c r="G50" s="66"/>
      <c r="H50" s="66"/>
      <c r="I50" s="66"/>
      <c r="J50" s="66"/>
      <c r="K50" s="66"/>
      <c r="L50" s="66"/>
      <c r="M50" s="66"/>
    </row>
    <row r="51" spans="1:13" x14ac:dyDescent="0.25">
      <c r="A51" s="66"/>
      <c r="B51" s="105"/>
      <c r="C51" s="66"/>
      <c r="D51" s="66"/>
      <c r="E51" s="66"/>
      <c r="F51" s="66"/>
      <c r="G51" s="66"/>
      <c r="H51" s="66"/>
      <c r="I51" s="66"/>
      <c r="J51" s="66"/>
      <c r="K51" s="66"/>
      <c r="L51" s="66"/>
      <c r="M51" s="66"/>
    </row>
    <row r="52" spans="1:13" x14ac:dyDescent="0.25">
      <c r="A52" s="66"/>
      <c r="B52" s="105"/>
      <c r="C52" s="66"/>
      <c r="D52" s="66"/>
      <c r="E52" s="66"/>
      <c r="F52" s="66"/>
      <c r="G52" s="66"/>
      <c r="H52" s="66"/>
      <c r="I52" s="66"/>
      <c r="J52" s="66"/>
      <c r="K52" s="66"/>
      <c r="L52" s="66"/>
      <c r="M52" s="66"/>
    </row>
    <row r="53" spans="1:13" x14ac:dyDescent="0.25">
      <c r="A53" s="66"/>
      <c r="B53" s="105"/>
      <c r="C53" s="66"/>
      <c r="D53" s="66"/>
      <c r="E53" s="66"/>
      <c r="F53" s="66"/>
      <c r="G53" s="66"/>
      <c r="H53" s="66"/>
      <c r="I53" s="66"/>
      <c r="J53" s="66"/>
      <c r="K53" s="66"/>
      <c r="L53" s="66"/>
      <c r="M53" s="66"/>
    </row>
    <row r="54" spans="1:13" x14ac:dyDescent="0.25">
      <c r="A54" s="66"/>
      <c r="B54" s="105"/>
      <c r="C54" s="66"/>
      <c r="D54" s="66"/>
      <c r="E54" s="66"/>
      <c r="F54" s="66"/>
      <c r="G54" s="66"/>
      <c r="H54" s="66"/>
      <c r="I54" s="66"/>
      <c r="J54" s="66"/>
      <c r="K54" s="66"/>
      <c r="L54" s="66"/>
      <c r="M54" s="66"/>
    </row>
    <row r="55" spans="1:13" x14ac:dyDescent="0.25">
      <c r="A55" s="66"/>
      <c r="B55" s="105"/>
      <c r="C55" s="66"/>
      <c r="D55" s="66"/>
      <c r="E55" s="66"/>
      <c r="F55" s="66"/>
      <c r="G55" s="66"/>
      <c r="H55" s="66"/>
      <c r="I55" s="66"/>
      <c r="J55" s="66"/>
      <c r="K55" s="66"/>
      <c r="L55" s="66"/>
      <c r="M55" s="66"/>
    </row>
    <row r="56" spans="1:13" x14ac:dyDescent="0.25">
      <c r="A56" s="66"/>
      <c r="B56" s="105"/>
      <c r="C56" s="66"/>
      <c r="D56" s="66"/>
      <c r="E56" s="66"/>
      <c r="F56" s="66"/>
      <c r="G56" s="66"/>
      <c r="H56" s="66"/>
      <c r="I56" s="66"/>
      <c r="J56" s="66"/>
      <c r="K56" s="66"/>
      <c r="L56" s="66"/>
      <c r="M56" s="66"/>
    </row>
    <row r="57" spans="1:13" x14ac:dyDescent="0.25">
      <c r="A57" s="66"/>
      <c r="B57" s="105"/>
      <c r="C57" s="66"/>
      <c r="D57" s="66"/>
      <c r="E57" s="66"/>
      <c r="F57" s="66"/>
      <c r="G57" s="66"/>
      <c r="H57" s="66"/>
      <c r="I57" s="66"/>
      <c r="J57" s="66"/>
      <c r="K57" s="66"/>
      <c r="L57" s="66"/>
      <c r="M57" s="66"/>
    </row>
  </sheetData>
  <mergeCells count="29">
    <mergeCell ref="B43:F43"/>
    <mergeCell ref="B5:D6"/>
    <mergeCell ref="B8:D8"/>
    <mergeCell ref="B15:F15"/>
    <mergeCell ref="C19:D19"/>
    <mergeCell ref="C16:D16"/>
    <mergeCell ref="C17:D17"/>
    <mergeCell ref="C18:D18"/>
    <mergeCell ref="C28:D28"/>
    <mergeCell ref="C29:D29"/>
    <mergeCell ref="C30:D30"/>
    <mergeCell ref="C32:D32"/>
    <mergeCell ref="C33:D33"/>
    <mergeCell ref="B42:F42"/>
    <mergeCell ref="C20:F20"/>
    <mergeCell ref="B9:D9"/>
    <mergeCell ref="B10:D10"/>
    <mergeCell ref="B11:D11"/>
    <mergeCell ref="B31:F31"/>
    <mergeCell ref="C37:D37"/>
    <mergeCell ref="C38:D38"/>
    <mergeCell ref="C39:D39"/>
    <mergeCell ref="C21:D21"/>
    <mergeCell ref="C22:D22"/>
    <mergeCell ref="C23:D23"/>
    <mergeCell ref="C24:D24"/>
    <mergeCell ref="C25:D25"/>
    <mergeCell ref="C26:D26"/>
    <mergeCell ref="C27:D27"/>
  </mergeCells>
  <printOptions horizontalCentered="1" headings="1"/>
  <pageMargins left="1" right="1" top="1.25" bottom="1" header="0.5" footer="0.5"/>
  <pageSetup scale="10" orientation="portrait" r:id="rId1"/>
  <headerFooter scaleWithDoc="0">
    <oddHeader>&amp;R&amp;"Arial,Bold"ICC Docket No. 17-0312
Statewide Quarterly Report ComEd 2019 Q4
Tab: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D7298ED617D146A3AF46250AE2AF4E" ma:contentTypeVersion="14" ma:contentTypeDescription="Create a new document." ma:contentTypeScope="" ma:versionID="e1409b309f0e72c7370bea2d232ee587">
  <xsd:schema xmlns:xsd="http://www.w3.org/2001/XMLSchema" xmlns:xs="http://www.w3.org/2001/XMLSchema" xmlns:p="http://schemas.microsoft.com/office/2006/metadata/properties" xmlns:ns2="34179d51-dc0c-413e-aa1e-3fce419c532c" xmlns:ns3="36036ecd-8164-441f-a01a-9502deb9fecc" targetNamespace="http://schemas.microsoft.com/office/2006/metadata/properties" ma:root="true" ma:fieldsID="25a67ee73ca2392e58fafd65512d8f2e" ns2:_="" ns3:_="">
    <xsd:import namespace="34179d51-dc0c-413e-aa1e-3fce419c532c"/>
    <xsd:import namespace="36036ecd-8164-441f-a01a-9502deb9fe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SubmissionDeadline" minOccurs="0"/>
                <xsd:element ref="ns2:MediaServiceObjectDetectorVersions" minOccurs="0"/>
                <xsd:element ref="ns2:Note" minOccurs="0"/>
                <xsd:element ref="ns2:GroupBy" minOccurs="0"/>
                <xsd:element ref="ns2:MediaServiceSearchPropertie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79d51-dc0c-413e-aa1e-3fce419c5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SubmissionDeadline" ma:index="14" nillable="true" ma:displayName="Submission Deadline" ma:description="ICC Filing deadline" ma:format="DateOnly" ma:internalName="SubmissionDeadline">
      <xsd:simpleType>
        <xsd:restriction base="dms:DateTim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Note" ma:index="16" nillable="true" ma:displayName="Note" ma:format="Dropdown" ma:internalName="Note">
      <xsd:simpleType>
        <xsd:restriction base="dms:Text">
          <xsd:maxLength value="255"/>
        </xsd:restriction>
      </xsd:simpleType>
    </xsd:element>
    <xsd:element name="GroupBy" ma:index="17" nillable="true" ma:displayName="Group By" ma:format="Dropdown" ma:internalName="GroupBy">
      <xsd:simpleType>
        <xsd:restriction base="dms:Text">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036ecd-8164-441f-a01a-9502deb9fe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6036ecd-8164-441f-a01a-9502deb9fecc">
      <UserInfo>
        <DisplayName>Borggren, Erica J:(ComEd)</DisplayName>
        <AccountId>84</AccountId>
        <AccountType/>
      </UserInfo>
    </SharedWithUsers>
    <Note xmlns="34179d51-dc0c-413e-aa1e-3fce419c532c" xsi:nil="true"/>
    <SubmissionDeadline xmlns="34179d51-dc0c-413e-aa1e-3fce419c532c" xsi:nil="true"/>
    <GroupBy xmlns="34179d51-dc0c-413e-aa1e-3fce419c532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29F8FE-F440-4691-AC28-F26C094DC6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79d51-dc0c-413e-aa1e-3fce419c532c"/>
    <ds:schemaRef ds:uri="36036ecd-8164-441f-a01a-9502deb9f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265358-A200-4181-99F2-5390B7D0CBB5}">
  <ds:schemaRefs>
    <ds:schemaRef ds:uri="http://schemas.microsoft.com/office/2006/documentManagement/types"/>
    <ds:schemaRef ds:uri="http://schemas.microsoft.com/office/2006/metadata/properties"/>
    <ds:schemaRef ds:uri="http://schemas.microsoft.com/office/infopath/2007/PartnerControls"/>
    <ds:schemaRef ds:uri="http://purl.org/dc/elements/1.1/"/>
    <ds:schemaRef ds:uri="34179d51-dc0c-413e-aa1e-3fce419c532c"/>
    <ds:schemaRef ds:uri="http://purl.org/dc/dcmitype/"/>
    <ds:schemaRef ds:uri="http://schemas.openxmlformats.org/package/2006/metadata/core-properties"/>
    <ds:schemaRef ds:uri="36036ecd-8164-441f-a01a-9502deb9fecc"/>
    <ds:schemaRef ds:uri="http://www.w3.org/XML/1998/namespace"/>
    <ds:schemaRef ds:uri="http://purl.org/dc/terms/"/>
  </ds:schemaRefs>
</ds:datastoreItem>
</file>

<file path=customXml/itemProps3.xml><?xml version="1.0" encoding="utf-8"?>
<ds:datastoreItem xmlns:ds="http://schemas.openxmlformats.org/officeDocument/2006/customXml" ds:itemID="{D7CB91CF-5463-483A-B537-8D7B40E18D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1- Ex Ante Results</vt:lpstr>
      <vt:lpstr>1- Ex Ante Results Orig</vt:lpstr>
      <vt:lpstr>9+3 Spend LE</vt:lpstr>
      <vt:lpstr>9+3 Savings LE</vt:lpstr>
      <vt:lpstr>Sheet1</vt:lpstr>
      <vt:lpstr>2- Costs</vt:lpstr>
      <vt:lpstr>3- Energy</vt:lpstr>
      <vt:lpstr>4- Other</vt:lpstr>
      <vt:lpstr>5- CPAS</vt:lpstr>
      <vt:lpstr>6- Historical Costs</vt:lpstr>
      <vt:lpstr>'1- Ex Ante Results'!Print_Area</vt:lpstr>
      <vt:lpstr>'1- Ex Ante Results Orig'!Print_Area</vt:lpstr>
      <vt:lpstr>'6- Historical Costs'!Print_Area</vt:lpstr>
      <vt:lpstr>q3LEcheck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Kapoor, Shikha:(ComEd)</dc:creator>
  <cp:keywords/>
  <dc:description/>
  <cp:lastModifiedBy>Lee, Abbey Rose:(ComEd)</cp:lastModifiedBy>
  <cp:revision/>
  <dcterms:created xsi:type="dcterms:W3CDTF">2020-03-11T14:31:19Z</dcterms:created>
  <dcterms:modified xsi:type="dcterms:W3CDTF">2024-11-12T16:59:00Z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0x01010068D7298ED617D146A3AF46250AE2AF4E</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c968b3d1-e05f-4796-9c23-acaf26d588cb_Enabled">
    <vt:lpwstr>true</vt:lpwstr>
  </property>
  <property fmtid="{D5CDD505-2E9C-101B-9397-08002B2CF9AE}" pid="6" name="MSIP_Label_c968b3d1-e05f-4796-9c23-acaf26d588cb_SetDate">
    <vt:lpwstr>2022-01-28T15:50:21Z</vt:lpwstr>
  </property>
  <property fmtid="{D5CDD505-2E9C-101B-9397-08002B2CF9AE}" pid="7" name="MSIP_Label_c968b3d1-e05f-4796-9c23-acaf26d588cb_Method">
    <vt:lpwstr>Standard</vt:lpwstr>
  </property>
  <property fmtid="{D5CDD505-2E9C-101B-9397-08002B2CF9AE}" pid="8" name="MSIP_Label_c968b3d1-e05f-4796-9c23-acaf26d588cb_Name">
    <vt:lpwstr>Company Confidential Information</vt:lpwstr>
  </property>
  <property fmtid="{D5CDD505-2E9C-101B-9397-08002B2CF9AE}" pid="9" name="MSIP_Label_c968b3d1-e05f-4796-9c23-acaf26d588cb_SiteId">
    <vt:lpwstr>600d01fc-055f-49c6-868f-3ecfcc791773</vt:lpwstr>
  </property>
  <property fmtid="{D5CDD505-2E9C-101B-9397-08002B2CF9AE}" pid="10" name="MSIP_Label_c968b3d1-e05f-4796-9c23-acaf26d588cb_ActionId">
    <vt:lpwstr>2c1ec06e-b615-464f-be7b-4ddee875247d</vt:lpwstr>
  </property>
  <property fmtid="{D5CDD505-2E9C-101B-9397-08002B2CF9AE}" pid="11" name="MSIP_Label_c968b3d1-e05f-4796-9c23-acaf26d588cb_ContentBits">
    <vt:lpwstr>0</vt:lpwstr>
  </property>
  <property fmtid="{D5CDD505-2E9C-101B-9397-08002B2CF9AE}" pid="12" name="Order">
    <vt:r8>7700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MediaServiceImageTags">
    <vt:lpwstr/>
  </property>
</Properties>
</file>