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exeloncorp.sharepoint.com/sites/CY2020Q3SavingsandHighlights/Shared Documents/General/Quarterly Reporting/Q2 2024/"/>
    </mc:Choice>
  </mc:AlternateContent>
  <xr:revisionPtr revIDLastSave="7082" documentId="13_ncr:1_{C3B528CB-3112-44FA-AD84-EC5ED8D6540D}" xr6:coauthVersionLast="47" xr6:coauthVersionMax="47" xr10:uidLastSave="{CF1D8491-2394-4FC8-92BC-1A5275016B20}"/>
  <bookViews>
    <workbookView xWindow="-57720" yWindow="-120" windowWidth="29040" windowHeight="15720" activeTab="5" xr2:uid="{7D229D66-900C-4347-B141-1069A3B0C045}"/>
  </bookViews>
  <sheets>
    <sheet name="1- Ex Ante Results" sheetId="9" r:id="rId1"/>
    <sheet name="2- Costs" sheetId="2" r:id="rId2"/>
    <sheet name="3- Energy" sheetId="3" r:id="rId3"/>
    <sheet name="4- Other" sheetId="4" r:id="rId4"/>
    <sheet name="5- CPAS" sheetId="7" r:id="rId5"/>
    <sheet name="6- Historical Costs" sheetId="8" r:id="rId6"/>
  </sheets>
  <definedNames>
    <definedName name="_xlnm._FilterDatabase" localSheetId="0" hidden="1">'1- Ex Ante Results'!$A$20:$L$115</definedName>
    <definedName name="_xlnm._FilterDatabase" localSheetId="2" hidden="1">'3- Energy'!$E$31:$E$32</definedName>
    <definedName name="_xlnm.Print_Area" localSheetId="0">'1- Ex Ante Results'!$A$1:$L$124</definedName>
    <definedName name="_xlnm.Print_Area" localSheetId="5">'6- Historical Costs'!$A$1:$G$31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3" l="1"/>
  <c r="E34" i="7" l="1"/>
  <c r="E24" i="7"/>
  <c r="G32" i="3" l="1"/>
  <c r="D34" i="8" l="1"/>
  <c r="F32" i="3" l="1"/>
  <c r="Q14" i="4"/>
  <c r="Q13" i="4"/>
  <c r="Q15" i="4"/>
  <c r="Q16" i="4"/>
  <c r="B12" i="8" l="1"/>
  <c r="B15" i="7"/>
  <c r="B14" i="7"/>
  <c r="B10" i="4"/>
  <c r="B12" i="3"/>
  <c r="D21" i="3" l="1"/>
  <c r="E18" i="7" l="1"/>
  <c r="P12" i="4" l="1"/>
  <c r="F34" i="3"/>
  <c r="F33" i="3"/>
  <c r="F31" i="3"/>
  <c r="F35" i="3" l="1"/>
  <c r="G26" i="3" l="1"/>
  <c r="E35" i="3"/>
  <c r="E27" i="8"/>
  <c r="E30" i="8"/>
  <c r="E29" i="8"/>
  <c r="E28" i="8"/>
  <c r="D36" i="8" l="1"/>
  <c r="L21" i="4" l="1"/>
  <c r="E23" i="7" l="1"/>
  <c r="O16" i="4" l="1"/>
  <c r="F28" i="3"/>
  <c r="E26" i="7" l="1"/>
  <c r="E35" i="7" s="1"/>
  <c r="E27" i="7" l="1"/>
  <c r="N16" i="4" l="1"/>
  <c r="N15" i="4"/>
  <c r="N14" i="4"/>
  <c r="N13" i="4"/>
  <c r="M13" i="4" l="1"/>
  <c r="M15" i="4" l="1"/>
  <c r="D31" i="8" l="1"/>
  <c r="F25" i="8"/>
  <c r="D25" i="8"/>
  <c r="C25" i="8"/>
  <c r="E24" i="8"/>
  <c r="G24" i="8" s="1"/>
  <c r="G23" i="8"/>
  <c r="E23" i="8"/>
  <c r="E22" i="8"/>
  <c r="G22" i="8" s="1"/>
  <c r="F21" i="8"/>
  <c r="D21" i="8"/>
  <c r="C21" i="8"/>
  <c r="E21" i="8" s="1"/>
  <c r="G21" i="8" s="1"/>
  <c r="E20" i="8"/>
  <c r="G20" i="8" s="1"/>
  <c r="E19" i="8"/>
  <c r="G19" i="8" s="1"/>
  <c r="E18" i="8"/>
  <c r="G18" i="8" s="1"/>
  <c r="F17" i="8"/>
  <c r="D17" i="8"/>
  <c r="C17" i="8"/>
  <c r="E16" i="8"/>
  <c r="G16" i="8" s="1"/>
  <c r="G15" i="8"/>
  <c r="E15" i="8"/>
  <c r="G14" i="8"/>
  <c r="E14" i="8"/>
  <c r="M18" i="4"/>
  <c r="L18" i="4"/>
  <c r="M16" i="4"/>
  <c r="L16" i="4"/>
  <c r="K16" i="4"/>
  <c r="J16" i="4"/>
  <c r="I16" i="4"/>
  <c r="H16" i="4"/>
  <c r="G16" i="4"/>
  <c r="F16" i="4"/>
  <c r="E16" i="4"/>
  <c r="D16" i="4"/>
  <c r="L15" i="4"/>
  <c r="K15" i="4"/>
  <c r="J15" i="4"/>
  <c r="I15" i="4"/>
  <c r="H15" i="4"/>
  <c r="G15" i="4"/>
  <c r="F15" i="4"/>
  <c r="E15" i="4"/>
  <c r="D15" i="4"/>
  <c r="M14" i="4"/>
  <c r="L14" i="4"/>
  <c r="K14" i="4"/>
  <c r="J14" i="4"/>
  <c r="I14" i="4"/>
  <c r="H14" i="4"/>
  <c r="G14" i="4"/>
  <c r="F14" i="4"/>
  <c r="E14" i="4"/>
  <c r="D14" i="4"/>
  <c r="L13" i="4"/>
  <c r="K13" i="4"/>
  <c r="J13" i="4"/>
  <c r="I13" i="4"/>
  <c r="H13" i="4"/>
  <c r="G13" i="4"/>
  <c r="F13" i="4"/>
  <c r="E13" i="4"/>
  <c r="D13" i="4"/>
  <c r="E30" i="3"/>
  <c r="F29" i="3"/>
  <c r="F27" i="3"/>
  <c r="F26" i="3"/>
  <c r="E25" i="3"/>
  <c r="D25" i="3"/>
  <c r="F24" i="3"/>
  <c r="G24" i="3" s="1"/>
  <c r="F23" i="3"/>
  <c r="G23" i="3" s="1"/>
  <c r="F22" i="3"/>
  <c r="G22" i="3" s="1"/>
  <c r="E21" i="3"/>
  <c r="G20" i="3"/>
  <c r="G19" i="3"/>
  <c r="F19" i="3"/>
  <c r="F18" i="3"/>
  <c r="G18" i="3" s="1"/>
  <c r="E17" i="3"/>
  <c r="D17" i="3"/>
  <c r="F16" i="3"/>
  <c r="G16" i="3" s="1"/>
  <c r="F15" i="3"/>
  <c r="G15" i="3" s="1"/>
  <c r="G14" i="3"/>
  <c r="F14" i="3"/>
  <c r="G21" i="3" l="1"/>
  <c r="E37" i="7"/>
  <c r="E17" i="8"/>
  <c r="G17" i="8" s="1"/>
  <c r="E25" i="8"/>
  <c r="G25" i="8" s="1"/>
  <c r="G17" i="3"/>
  <c r="F21" i="3"/>
  <c r="F17" i="3"/>
  <c r="F30" i="3"/>
  <c r="F25" i="3"/>
  <c r="G25" i="3" s="1"/>
  <c r="P13" i="4" l="1"/>
  <c r="G29" i="3"/>
  <c r="G28" i="3"/>
  <c r="O15" i="4"/>
  <c r="O14" i="4"/>
  <c r="O13" i="4"/>
  <c r="P15" i="4" l="1"/>
  <c r="P14" i="4"/>
  <c r="P16" i="4"/>
  <c r="G27" i="3"/>
  <c r="D30" i="3"/>
  <c r="G30" i="3" s="1"/>
  <c r="E35" i="8" l="1"/>
  <c r="C31" i="8" l="1"/>
  <c r="E31" i="8" s="1"/>
  <c r="G31" i="3" l="1"/>
  <c r="D33" i="3" l="1"/>
  <c r="G33" i="3" s="1"/>
  <c r="E28" i="7"/>
  <c r="E29" i="7"/>
  <c r="E36" i="7" s="1"/>
  <c r="E38" i="7" s="1"/>
  <c r="E39" i="7" s="1"/>
  <c r="S12" i="4" l="1"/>
  <c r="S16" i="4" s="1"/>
  <c r="D35" i="3"/>
  <c r="G35" i="3" s="1"/>
  <c r="E30" i="7"/>
  <c r="E33" i="8"/>
  <c r="E32" i="8"/>
  <c r="S15" i="4" l="1"/>
  <c r="S13" i="4"/>
  <c r="S14" i="4"/>
  <c r="C34" i="8" l="1"/>
  <c r="E34" i="8" s="1"/>
  <c r="C36" i="8" l="1"/>
  <c r="E3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tc={0CE1AF34-9ADF-4AB1-8464-003BA59B7055}</author>
    <author>tc={2F52308F-90DA-4117-9EEF-200440739BF9}</author>
    <author>tc={EA3AC1BD-1CEE-42ED-A19A-08432C76EADD}</author>
    <author>tc={0E908002-B1DC-430A-9016-77AF332BFFA9}</author>
  </authors>
  <commentList>
    <comment ref="A43" authorId="0" shapeId="0" xr:uid="{0CE1AF34-9ADF-4AB1-8464-003BA59B7055}">
      <text>
        <t>[Threaded comment]
Your version of Excel allows you to read this threaded comment; however, any edits to it will get removed if the file is opened in a newer version of Excel. Learn more: https://go.microsoft.com/fwlink/?linkid=870924
Comment:
    Can hide row</t>
      </text>
    </comment>
    <comment ref="A62" authorId="1" shapeId="0" xr:uid="{2F52308F-90DA-4117-9EEF-200440739BF9}">
      <text>
        <t>[Threaded comment]
Your version of Excel allows you to read this threaded comment; however, any edits to it will get removed if the file is opened in a newer version of Excel. Learn more: https://go.microsoft.com/fwlink/?linkid=870924
Comment:
    Can hide</t>
      </text>
    </comment>
    <comment ref="C86" authorId="2" shapeId="0" xr:uid="{EA3AC1BD-1CEE-42ED-A19A-08432C76EADD}">
      <text>
        <t>[Threaded comment]
Your version of Excel allows you to read this threaded comment; however, any edits to it will get removed if the file is opened in a newer version of Excel. Learn more: https://go.microsoft.com/fwlink/?linkid=870924
Comment:
    Was missing 6000 from RPP</t>
      </text>
    </comment>
    <comment ref="C91" authorId="3" shapeId="0" xr:uid="{0E908002-B1DC-430A-9016-77AF332BFFA9}">
      <text>
        <t>[Threaded comment]
Your version of Excel allows you to read this threaded comment; however, any edits to it will get removed if the file is opened in a newer version of Excel. Learn more: https://go.microsoft.com/fwlink/?linkid=870924
Comment:
    Added program - electrification component added this year</t>
      </text>
    </comment>
  </commentList>
</comments>
</file>

<file path=xl/sharedStrings.xml><?xml version="1.0" encoding="utf-8"?>
<sst xmlns="http://schemas.openxmlformats.org/spreadsheetml/2006/main" count="522" uniqueCount="326">
  <si>
    <t>Statewide Quarterly Report Template</t>
  </si>
  <si>
    <t>Tab 1: Ex Ante Results</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</si>
  <si>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</si>
  <si>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</si>
  <si>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2"/>
        <color rgb="FFFF0000"/>
        <rFont val="Century Gothic"/>
        <family val="2"/>
      </rPr>
      <t>ComEd</t>
    </r>
    <r>
      <rPr>
        <b/>
        <sz val="12"/>
        <color theme="1"/>
        <rFont val="Century Gothic"/>
        <family val="2"/>
      </rPr>
      <t xml:space="preserve"> Ex Ante Results - Section 8-103B/8-104 (EEPS) Programs</t>
    </r>
  </si>
  <si>
    <t>CY2024 Q2</t>
  </si>
  <si>
    <t xml:space="preserve"> Section 8-103B/8-104
(EEPS) Program</t>
  </si>
  <si>
    <t>Net Energy Savings Achieved YTD
(MWh)</t>
  </si>
  <si>
    <t>2024 Original Plan 
Savings Goal
(MWh)*</t>
  </si>
  <si>
    <t>Approved Net Energy Savings Goal (MWh)**</t>
  </si>
  <si>
    <t>Implementation Plan Savings Goal
(MWh)</t>
  </si>
  <si>
    <t>% Savings Achieved Compared to Implementation Plan Savings Goal</t>
  </si>
  <si>
    <t>Program Costs YTD</t>
  </si>
  <si>
    <t>Incentive Costs YTD***</t>
  </si>
  <si>
    <t>Non-Incentive Costs YTD***</t>
  </si>
  <si>
    <t>2024 Original Plan 
Budget****</t>
  </si>
  <si>
    <t>2024
Approved Budget*****</t>
  </si>
  <si>
    <t>% of Costs YTD Compared to Approved Budget</t>
  </si>
  <si>
    <t>Commercial &amp; Industrial Programs</t>
  </si>
  <si>
    <t>Incentives</t>
  </si>
  <si>
    <t>Standard</t>
  </si>
  <si>
    <t>Custom</t>
  </si>
  <si>
    <t>ComEd Streetlightings</t>
  </si>
  <si>
    <t>Small Business</t>
  </si>
  <si>
    <t>Midstream/Upstream</t>
  </si>
  <si>
    <t>New Construction Bus/Pub</t>
  </si>
  <si>
    <t>Industrial Systems</t>
  </si>
  <si>
    <t>Retro-commissioning</t>
  </si>
  <si>
    <t>Behavior - Bus/Pub</t>
  </si>
  <si>
    <t>Facility Assessments</t>
  </si>
  <si>
    <t>Commercial Foodservice</t>
  </si>
  <si>
    <t>Electrification</t>
  </si>
  <si>
    <t>Business Outreach</t>
  </si>
  <si>
    <t>N/A</t>
  </si>
  <si>
    <t>Business General</t>
  </si>
  <si>
    <t>C&amp;I Programs Subtotal</t>
  </si>
  <si>
    <t>C&amp;I Private Sector Programs</t>
  </si>
  <si>
    <t>Incentives - Private</t>
  </si>
  <si>
    <t>Standard - Private</t>
  </si>
  <si>
    <t>Custom - Private</t>
  </si>
  <si>
    <t>Incentives - Custom - Private - Electrification</t>
  </si>
  <si>
    <t>Small Business - Private</t>
  </si>
  <si>
    <t>Midstream Upstream - Private</t>
  </si>
  <si>
    <t>Midstream/Upstream Private - Electrification</t>
  </si>
  <si>
    <t>Industrial Systems - Private</t>
  </si>
  <si>
    <t>Retro-commissioning - Private</t>
  </si>
  <si>
    <t xml:space="preserve">Strategic Energy Management - Private </t>
  </si>
  <si>
    <t>New Construction - Private</t>
  </si>
  <si>
    <t>Facility Assessment - Private</t>
  </si>
  <si>
    <t>Commercial Foodservice - Private</t>
  </si>
  <si>
    <t>Private Sector Outreach</t>
  </si>
  <si>
    <t>Private Sector General</t>
  </si>
  <si>
    <t>C&amp;I Programs - Private Sector Total</t>
  </si>
  <si>
    <t>C&amp;I Public Sector Programs</t>
  </si>
  <si>
    <t>Incentives - Public</t>
  </si>
  <si>
    <t>Standard - Public</t>
  </si>
  <si>
    <t>Custom - Public</t>
  </si>
  <si>
    <t>Small Business - Public</t>
  </si>
  <si>
    <t>Midstream/Upstream - Public</t>
  </si>
  <si>
    <t>Midstream/Upstream Public - Electrification</t>
  </si>
  <si>
    <t>Retro-commissioning - Public</t>
  </si>
  <si>
    <t>Strategic Energy Management - Public</t>
  </si>
  <si>
    <t>New Construction - Public</t>
  </si>
  <si>
    <t>Facility Assessments - Public</t>
  </si>
  <si>
    <t>Commercial Foodservice - Public</t>
  </si>
  <si>
    <t>Public Sector Outreach</t>
  </si>
  <si>
    <t>C&amp;I Programs - Public Sector Total</t>
  </si>
  <si>
    <t>Residential and Income Eligible Programs</t>
  </si>
  <si>
    <t>Behavior -Res/IE</t>
  </si>
  <si>
    <t>Single-Family Upgrades</t>
  </si>
  <si>
    <t>Multi-Family Upgrades</t>
  </si>
  <si>
    <t>Retail/Online</t>
  </si>
  <si>
    <t>Product Distribution</t>
  </si>
  <si>
    <t>New Construction - Income Eligible</t>
  </si>
  <si>
    <t>New Contruction - Electric</t>
  </si>
  <si>
    <t>Heating and Cooling - Contractor/Midstream Rebates</t>
  </si>
  <si>
    <t>Residential and IE General</t>
  </si>
  <si>
    <t>Residential and Income Eligible Programs Subtotal</t>
  </si>
  <si>
    <t>Residential Market Rate Programs</t>
  </si>
  <si>
    <t>Residential Behavior - Home Energy Report</t>
  </si>
  <si>
    <t>Single-Family Upgrades – Home Energy Assessments - Market Rate</t>
  </si>
  <si>
    <t>Multi-Family Upgrades - Market Rate</t>
  </si>
  <si>
    <t>Retail - Market Rate (includes Marketplace 2.0 Non-Lighting and Retail Products Platform)</t>
  </si>
  <si>
    <t>Product Distribution - Market Rate</t>
  </si>
  <si>
    <t>All-Electric New Construction</t>
  </si>
  <si>
    <t>Residential General</t>
  </si>
  <si>
    <t>Retail - Market Rate - Electrification</t>
  </si>
  <si>
    <t>All-Electric New Construction - Electrification</t>
  </si>
  <si>
    <t>Contractor/Midstream Rebates Electrification</t>
  </si>
  <si>
    <t>Residential Market Rate Subtotal</t>
  </si>
  <si>
    <t>Income Qualified Programs</t>
  </si>
  <si>
    <t>Single-Family Upgrades – Income Eligible Retrofits</t>
  </si>
  <si>
    <t>Single-Family Upgrades – Home Energy Assessments - IE</t>
  </si>
  <si>
    <t>Multi-Family Upgrades - Income Eligible</t>
  </si>
  <si>
    <t>Multi-Family Upgrades - Public Housing</t>
  </si>
  <si>
    <t>Retail - Income Eligible + Electrification</t>
  </si>
  <si>
    <t>Product Distribution - Income Eligible</t>
  </si>
  <si>
    <t>Affordable Housing New Construction</t>
  </si>
  <si>
    <t>Whole Home Electrific (Single and Multi Family Upgrades Electrification - IE)</t>
  </si>
  <si>
    <t>Affordable Housing New Construction Electrification</t>
  </si>
  <si>
    <t>IE General</t>
  </si>
  <si>
    <t>Income Qualified Programs Subtotal</t>
  </si>
  <si>
    <t>Demonstration of Breakthrough Equipment and Devices</t>
  </si>
  <si>
    <t>Emerging Technology/R&amp;D</t>
  </si>
  <si>
    <t>Voltage Optimization</t>
  </si>
  <si>
    <t>Business Energy Analyzer/Optimization</t>
  </si>
  <si>
    <t>Demonstration of Breakthrough Equipment and Devices Subtotal</t>
  </si>
  <si>
    <t>Other Fuel (Therm) Conversion</t>
  </si>
  <si>
    <t>Additional/Other Claimable Savings******</t>
  </si>
  <si>
    <t>Lighting Carryover</t>
  </si>
  <si>
    <r>
      <t>Overall Total</t>
    </r>
    <r>
      <rPr>
        <b/>
        <sz val="10"/>
        <color rgb="FFFF0000"/>
        <rFont val="Century Gothic"/>
        <family val="2"/>
      </rPr>
      <t xml:space="preserve"> ComEd</t>
    </r>
    <r>
      <rPr>
        <b/>
        <sz val="10"/>
        <rFont val="Century Gothic"/>
        <family val="2"/>
      </rPr>
      <t xml:space="preserve"> Section 8-103B/8-104 (EEPS) Programs</t>
    </r>
  </si>
  <si>
    <t>Footnotes:</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</si>
  <si>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</si>
  <si>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</si>
  <si>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***Because actual incentive costs are not available until year-end, estimates are provided in the Incentive Costs YTD column for Q1. A blended rate of 64% is applied to all programs that typically have incentive costs; this excludes behavioral programs, voltage optimization, emerging technology, market transformation, outreach, general, and portfolio-level costs.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</si>
  <si>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</si>
  <si>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</si>
  <si>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******Per ComEd’s Revised Stipulation Agreement, ComEd has reached an agreement with Nicor to support investment in building envelope improvements in non-IE homes by purchasing net kWh from Nicor’s Single Family Air Sealing and Insulation (SF-ASI) and Multi Family Air Sealing and Insulation (MF-ASI) offerings. First-year savings from the CY2023 agreement are estimated to be 1,035 MWh.</t>
  </si>
  <si>
    <t>Evaluation Costs</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</si>
  <si>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</si>
  <si>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</si>
  <si>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FF0000"/>
        <rFont val="Century Gothic"/>
        <family val="2"/>
      </rPr>
      <t>ComEd</t>
    </r>
    <r>
      <rPr>
        <b/>
        <sz val="11"/>
        <color theme="1"/>
        <rFont val="Century Gothic"/>
        <family val="2"/>
      </rPr>
      <t xml:space="preserve"> Section 8-103B/8-104 (EEPS) Costs as of</t>
    </r>
  </si>
  <si>
    <t>Section 8-103B/8-104 (EEPS) Cost Category</t>
  </si>
  <si>
    <t xml:space="preserve"> 2024
Actual Costs YTD</t>
  </si>
  <si>
    <t>Program Costs by Sector</t>
  </si>
  <si>
    <t>C&amp;I Programs Private Sector</t>
  </si>
  <si>
    <t xml:space="preserve">C&amp;I Programs Public Sector </t>
  </si>
  <si>
    <t>Residential (Market Rate) Programs</t>
  </si>
  <si>
    <t>Market Transformation Programs</t>
  </si>
  <si>
    <t>Third Party Programs (Beginning in 2021)</t>
  </si>
  <si>
    <r>
      <t xml:space="preserve">Total </t>
    </r>
    <r>
      <rPr>
        <b/>
        <sz val="10"/>
        <color rgb="FFFF0000"/>
        <rFont val="Century Gothic"/>
        <family val="2"/>
      </rPr>
      <t xml:space="preserve">ComEd </t>
    </r>
    <r>
      <rPr>
        <b/>
        <sz val="10"/>
        <color theme="1"/>
        <rFont val="Century Gothic"/>
        <family val="2"/>
      </rPr>
      <t>Program Costs</t>
    </r>
  </si>
  <si>
    <t>Portfolio-Level Costs by Portfolio Cost Category (Section 8-103B/8-104 EEPS)</t>
  </si>
  <si>
    <t xml:space="preserve">Demonstration of Breakthrough
Equipment and Devices Costs </t>
  </si>
  <si>
    <t>Marketing Costs (including Education and Outreach)</t>
  </si>
  <si>
    <t xml:space="preserve">Portfolio Administrative Costs </t>
  </si>
  <si>
    <t>Capital Streetlights</t>
  </si>
  <si>
    <r>
      <t xml:space="preserve">Total </t>
    </r>
    <r>
      <rPr>
        <b/>
        <sz val="10"/>
        <color rgb="FFFF0000"/>
        <rFont val="Century Gothic"/>
        <family val="2"/>
      </rPr>
      <t>ComEd</t>
    </r>
    <r>
      <rPr>
        <b/>
        <sz val="10"/>
        <color theme="1"/>
        <rFont val="Century Gothic"/>
        <family val="2"/>
      </rPr>
      <t xml:space="preserve"> Portfolio-Level Costs</t>
    </r>
  </si>
  <si>
    <r>
      <t xml:space="preserve">Total </t>
    </r>
    <r>
      <rPr>
        <b/>
        <sz val="10"/>
        <color rgb="FFFF0000"/>
        <rFont val="Century Gothic"/>
        <family val="2"/>
      </rPr>
      <t>ComEd</t>
    </r>
    <r>
      <rPr>
        <b/>
        <sz val="10"/>
        <rFont val="Century Gothic"/>
        <family val="2"/>
      </rPr>
      <t xml:space="preserve"> Program and Portfolio-Level Section 8-103B/8-104 (EEPS) Costs</t>
    </r>
  </si>
  <si>
    <t>Overall Total Costs</t>
  </si>
  <si>
    <t>2024
Actual Costs YTD</t>
  </si>
  <si>
    <t>2024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</si>
  <si>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</si>
  <si>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</si>
  <si>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FF0000"/>
        <rFont val="Century Gothic"/>
        <family val="2"/>
      </rPr>
      <t>ComEd</t>
    </r>
    <r>
      <rPr>
        <b/>
        <sz val="11"/>
        <rFont val="Century Gothic"/>
        <family val="2"/>
      </rPr>
      <t xml:space="preserve"> Section 8-103B/8-104 (EEPS) Energy Saved (MWh) as of</t>
    </r>
  </si>
  <si>
    <t xml:space="preserve">IL Department of Commerce and Economic Opportunity Energy Saved (MWh) </t>
  </si>
  <si>
    <t>Program Year</t>
  </si>
  <si>
    <t>Evaluation Status
(Ex Ante, Verified***, or ICC Approved)</t>
  </si>
  <si>
    <t>Net Energy Savings Achieved
(MWh)</t>
  </si>
  <si>
    <t>Original Plan Savings Goal** (MWh)</t>
  </si>
  <si>
    <t>Net Energy Savings Goal* (MWh)</t>
  </si>
  <si>
    <t>% of Net Energy Savings Goal Achieved</t>
  </si>
  <si>
    <t>Department</t>
  </si>
  <si>
    <t>EPY1</t>
  </si>
  <si>
    <t>EPY2</t>
  </si>
  <si>
    <t>EPY3</t>
  </si>
  <si>
    <t>EPY4/
GPY1</t>
  </si>
  <si>
    <t>EPY5/
GPY2</t>
  </si>
  <si>
    <t>EPY6/
GPY3</t>
  </si>
  <si>
    <t>EPY7/
GPY4</t>
  </si>
  <si>
    <t>EPY8/
GPY5</t>
  </si>
  <si>
    <t>EPY9/
GPY6*</t>
  </si>
  <si>
    <t>EPY1- 6/1/08-5/31/09</t>
  </si>
  <si>
    <t>ICC Approved</t>
  </si>
  <si>
    <t>Net Savings Achieved (MWh)</t>
  </si>
  <si>
    <t>EPY2- 6/1/09-5/31/10</t>
  </si>
  <si>
    <t>Evaluation Status (Ex Ante, Verified**, or ICC Approved)</t>
  </si>
  <si>
    <t>Verified</t>
  </si>
  <si>
    <t>EPY3- 6/1/10-5/31/11</t>
  </si>
  <si>
    <t>Source</t>
  </si>
  <si>
    <t>Docket 10-0520, ComEd PY1 Evaluation Summary Report (2009-12-23), p. 17.</t>
  </si>
  <si>
    <t>Docket 10-0520, Staff Ex. 1.1, p. 12 (Navigant Memo, DCEO PY2 Energy Impact Summary (2011-09-21)).</t>
  </si>
  <si>
    <t>Docket 11-0593.</t>
  </si>
  <si>
    <t>Docket 13-0078.</t>
  </si>
  <si>
    <t>Docket 14-0075.</t>
  </si>
  <si>
    <t>Docket 15-0274.</t>
  </si>
  <si>
    <t>EPY7/GPY4 DCEO Cost Effectiveness Summary Report, p. 7.</t>
  </si>
  <si>
    <t>Docket 19-0684</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</si>
  <si>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</si>
  <si>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</si>
  <si>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</si>
  <si>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</si>
  <si>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</si>
  <si>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</si>
  <si>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</si>
  <si>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</si>
  <si>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</si>
  <si>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</si>
  <si>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</si>
  <si>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Plan 5</t>
  </si>
  <si>
    <t>2018-2021 Plan Total</t>
  </si>
  <si>
    <t>Plan 6</t>
  </si>
  <si>
    <t>Ex Ante</t>
  </si>
  <si>
    <t>Pending</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</si>
  <si>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</si>
  <si>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</si>
  <si>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</si>
  <si>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</si>
  <si>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</si>
  <si>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</si>
  <si>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t>Environmental and Economic Impacts for the</t>
    </r>
    <r>
      <rPr>
        <b/>
        <sz val="11"/>
        <color rgb="FFFF0000"/>
        <rFont val="Century Gothic"/>
        <family val="2"/>
      </rPr>
      <t xml:space="preserve"> ComEd</t>
    </r>
    <r>
      <rPr>
        <b/>
        <sz val="11"/>
        <rFont val="Century Gothic"/>
        <family val="2"/>
      </rPr>
      <t xml:space="preserve"> Service Territory as of</t>
    </r>
    <r>
      <rPr>
        <b/>
        <sz val="11"/>
        <color rgb="FFFF0000"/>
        <rFont val="Century Gothic"/>
        <family val="2"/>
      </rPr>
      <t xml:space="preserve"> </t>
    </r>
  </si>
  <si>
    <t>Performance Metrics (Equivalents)*</t>
  </si>
  <si>
    <t>EPY9/
GPY6****</t>
  </si>
  <si>
    <t>CY2018</t>
  </si>
  <si>
    <t>CY2019</t>
  </si>
  <si>
    <t>CY2020</t>
  </si>
  <si>
    <t>CY2021</t>
  </si>
  <si>
    <t>CY2022</t>
  </si>
  <si>
    <t>CY2023</t>
  </si>
  <si>
    <t>CY2024</t>
  </si>
  <si>
    <t>Net Energy Savings Achieved (MWh)**</t>
  </si>
  <si>
    <t>Carbon reduction (tons)</t>
  </si>
  <si>
    <t>Cars removed from the road</t>
  </si>
  <si>
    <t>Acres of trees planted</t>
  </si>
  <si>
    <t>Number of homes powered for 1 year*****</t>
  </si>
  <si>
    <t>Direct Portfolio Jobs******</t>
  </si>
  <si>
    <t>Income qualified homes served***</t>
  </si>
  <si>
    <t>Performance Metrics (Equivalents) Since inception*******</t>
  </si>
  <si>
    <t>CY2008</t>
  </si>
  <si>
    <t>CY2009</t>
  </si>
  <si>
    <t>CY2010</t>
  </si>
  <si>
    <t>CY2011</t>
  </si>
  <si>
    <t>CY2012</t>
  </si>
  <si>
    <t>CY2013</t>
  </si>
  <si>
    <t>CY2014</t>
  </si>
  <si>
    <t>CY2015</t>
  </si>
  <si>
    <t>CY2016</t>
  </si>
  <si>
    <t>CY2017</t>
  </si>
  <si>
    <t>Electric Bill Savings ($ Millions)</t>
  </si>
  <si>
    <t>Net Energy Savings Achieved (MWh)********</t>
  </si>
  <si>
    <t>Carbon reduction (metric tons)</t>
  </si>
  <si>
    <t xml:space="preserve">Cars removed from the road </t>
  </si>
  <si>
    <t xml:space="preserve">Acres of trees planted </t>
  </si>
  <si>
    <t>Number of homes powered for one year</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</si>
  <si>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</si>
  <si>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</si>
  <si>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Includes Single Family Retrofits (CBA+IHWAP), Multi Family Retrofits (IEMS+IHWAP), Affordable Housing, Public Housing Retrofits, IE Kits, Elementary Education Kits.  Excludes Lighting Discounts and Food Bank.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</si>
  <si>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</si>
  <si>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</si>
  <si>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******Direct portfolio Jobs reflect actual positions held by ComEd and its contractors that are part of the Rider EEPP and does not attempt to capture indirect jobs in the energy efficiency industry that may result from the ComEd Energy Efficiency Program.</t>
  </si>
  <si>
    <t>*******This includes performance metrics for $ saved by customers, net energy savings, carbon reduction, cars removed from the road, acres of trees planted and number of homes powered since inception of the program. Data presented is cumulative.</t>
  </si>
  <si>
    <t>********Legacy and persisting savings from prior year's measures are partially claimed each quarter to avoid a substantial increase in estimated customer bill savings at the start of each year.</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</si>
  <si>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</si>
  <si>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</si>
  <si>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</si>
  <si>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</si>
  <si>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</si>
  <si>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</si>
  <si>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FF0000"/>
        <rFont val="Century Gothic"/>
        <family val="2"/>
      </rPr>
      <t>ComEd</t>
    </r>
    <r>
      <rPr>
        <b/>
        <sz val="11"/>
        <color theme="1"/>
        <rFont val="Century Gothic"/>
        <family val="2"/>
      </rPr>
      <t xml:space="preserve"> CPAS and AAIG Progress Ex Ante Results - Section 8-103B Portfolio</t>
    </r>
    <r>
      <rPr>
        <b/>
        <sz val="11"/>
        <color rgb="FFFF0000"/>
        <rFont val="Century Gothic"/>
        <family val="2"/>
      </rPr>
      <t xml:space="preserve"> </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</si>
  <si>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</si>
  <si>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</si>
  <si>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</si>
  <si>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</si>
  <si>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</si>
  <si>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</si>
  <si>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</si>
  <si>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</si>
  <si>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</si>
  <si>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</si>
  <si>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</si>
  <si>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</si>
  <si>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</si>
  <si>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</si>
  <si>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</si>
  <si>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</si>
  <si>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</si>
  <si>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</si>
  <si>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</si>
  <si>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</si>
  <si>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</si>
  <si>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</si>
  <si>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</si>
  <si>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</si>
  <si>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</si>
  <si>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</si>
  <si>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</si>
  <si>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</si>
  <si>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</si>
  <si>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</si>
  <si>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</si>
  <si>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</si>
  <si>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</si>
  <si>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</si>
  <si>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</si>
  <si>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</si>
  <si>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</si>
  <si>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</si>
  <si>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</si>
  <si>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</si>
  <si>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</si>
  <si>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</si>
  <si>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</si>
  <si>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</si>
  <si>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</si>
  <si>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r>
      <t xml:space="preserve">= o * b    </t>
    </r>
    <r>
      <rPr>
        <i/>
        <sz val="8"/>
        <color theme="1"/>
        <rFont val="Century Gothic"/>
        <family val="2"/>
      </rPr>
      <t>**See footnote</t>
    </r>
  </si>
  <si>
    <t>q</t>
  </si>
  <si>
    <t>Current Year Applicable Annual Incremental Goal (MWh)</t>
  </si>
  <si>
    <t xml:space="preserve">= c - p </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</si>
  <si>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</si>
  <si>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</si>
  <si>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</si>
  <si>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</si>
  <si>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</si>
  <si>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</si>
  <si>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</si>
  <si>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</si>
  <si>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</si>
  <si>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</si>
  <si>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</si>
  <si>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</si>
  <si>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</si>
  <si>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</si>
  <si>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</si>
  <si>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*Savings from Measures Installed post-2017 Expiring in Current Year per Guidehouse's April 2024 first draft of evaluation report.</t>
  </si>
  <si>
    <t>**Calculations overwritten due to baseline variances between Revised Plan 6's CY2022 and CY2023 from different opt-out customers</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</si>
  <si>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</si>
  <si>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</si>
  <si>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FF0000"/>
        <rFont val="Century Gothic"/>
        <family val="2"/>
      </rPr>
      <t>ComEd</t>
    </r>
    <r>
      <rPr>
        <b/>
        <sz val="11"/>
        <rFont val="Century Gothic"/>
        <family val="2"/>
      </rPr>
      <t xml:space="preserve"> Service Territory Historical Energy Efficiency Costs as of</t>
    </r>
  </si>
  <si>
    <r>
      <t xml:space="preserve">Actual </t>
    </r>
    <r>
      <rPr>
        <b/>
        <sz val="11"/>
        <color rgb="FFFF0000"/>
        <rFont val="Century Gothic"/>
        <family val="2"/>
      </rPr>
      <t xml:space="preserve">ComEd </t>
    </r>
    <r>
      <rPr>
        <b/>
        <sz val="11"/>
        <color theme="0"/>
        <rFont val="Century Gothic"/>
        <family val="2"/>
      </rPr>
      <t>EEPS Costs</t>
    </r>
  </si>
  <si>
    <t>Actual DCEO EEPS Costs</t>
  </si>
  <si>
    <t>Total Actual EEPS Costs (ComEd + DCEO)</t>
  </si>
  <si>
    <t>Actual Section 16-111.5B Costs</t>
  </si>
  <si>
    <t>Total Actual EEPS + Section 16-111.5B Costs</t>
  </si>
  <si>
    <t>Actual ComEd EEPS Costs YTD</t>
  </si>
  <si>
    <t>Approved ComEd EEPS Budget</t>
  </si>
  <si>
    <t>ComEd Section 8-103B/8-104 (EEPS) Costs as of CY2024 Q2</t>
  </si>
  <si>
    <t>Final (updated 8-12-2024)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</si>
</sst>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s>
  <fonts count="45" x14ac:knownFonts="1">
    <font>
      <sz val="11"/>
      <color theme="1"/>
      <name val="Calibri"/>
      <family val="2"/>
      <scheme val="minor"/>
    </font>
    <font>
      <sz val="10"/>
      <name val="Arial"/>
      <family val="2"/>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sz val="11"/>
      <color rgb="FFFF0000"/>
      <name val="Century Gothic"/>
      <family val="2"/>
    </font>
    <font>
      <sz val="11"/>
      <name val="Calibri"/>
      <family val="2"/>
      <scheme val="minor"/>
    </font>
    <font>
      <b/>
      <sz val="11"/>
      <color theme="1"/>
      <name val="Calibri"/>
      <family val="2"/>
      <scheme val="minor"/>
    </font>
    <font>
      <b/>
      <i/>
      <sz val="10"/>
      <name val="Century Gothic"/>
      <family val="2"/>
    </font>
    <font>
      <sz val="11"/>
      <color rgb="FFFF0000"/>
      <name val="Calibri"/>
      <family val="2"/>
      <scheme val="minor"/>
    </font>
    <font>
      <sz val="11"/>
      <color theme="1"/>
      <name val="Calibri"/>
      <family val="2"/>
      <scheme val="minor"/>
    </font>
    <font>
      <sz val="8"/>
      <name val="Calibri"/>
      <family val="2"/>
      <scheme val="minor"/>
    </font>
    <font>
      <sz val="8"/>
      <color theme="1"/>
      <name val="Calibri"/>
      <family val="2"/>
      <scheme val="minor"/>
    </font>
    <font>
      <sz val="8"/>
      <color rgb="FF000000"/>
      <name val="Calibri"/>
      <family val="2"/>
    </font>
    <font>
      <b/>
      <i/>
      <sz val="11"/>
      <name val="Century Gothic"/>
      <family val="2"/>
    </font>
    <font>
      <i/>
      <sz val="11"/>
      <name val="Century Gothic"/>
      <family val="2"/>
    </font>
    <font>
      <b/>
      <sz val="10"/>
      <color rgb="FF000000"/>
      <name val="Century Gothic"/>
      <family val="2"/>
    </font>
    <font>
      <b/>
      <sz val="11"/>
      <color rgb="FFFF0000"/>
      <name val="Calibri"/>
      <family val="2"/>
      <scheme val="minor"/>
    </font>
    <font>
      <i/>
      <sz val="11"/>
      <color theme="1"/>
      <name val="Calibri"/>
      <family val="2"/>
      <scheme val="minor"/>
    </font>
    <font>
      <b/>
      <sz val="14"/>
      <color theme="1"/>
      <name val="Calibri"/>
      <family val="2"/>
      <scheme val="minor"/>
    </font>
    <font>
      <i/>
      <sz val="11"/>
      <color rgb="FFFF0000"/>
      <name val="Century Gothic"/>
      <family val="2"/>
    </font>
    <font>
      <b/>
      <i/>
      <sz val="10"/>
      <color rgb="FFFF0000"/>
      <name val="Diodrum"/>
      <family val="3"/>
    </font>
    <font>
      <b/>
      <sz val="12"/>
      <color theme="1"/>
      <name val="Century Gothic"/>
      <family val="2"/>
    </font>
    <font>
      <b/>
      <sz val="12"/>
      <color rgb="FFFF0000"/>
      <name val="Century Gothic"/>
      <family val="2"/>
    </font>
    <font>
      <i/>
      <sz val="8"/>
      <color theme="1"/>
      <name val="Century Gothic"/>
      <family val="2"/>
    </font>
    <font>
      <u/>
      <sz val="9"/>
      <color theme="10"/>
      <name val="Century Gothic"/>
      <family val="2"/>
    </font>
  </fonts>
  <fills count="17">
    <fill>
      <patternFill patternType="none"/>
    </fill>
    <fill>
      <patternFill patternType="gray125"/>
    </fill>
    <fill>
      <patternFill patternType="solid">
        <fgColor rgb="FFCACACA"/>
        <bgColor indexed="64"/>
      </patternFill>
    </fill>
    <fill>
      <patternFill patternType="solid">
        <fgColor rgb="FF656565"/>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0" tint="-0.34995574816125979"/>
        <bgColor indexed="64"/>
      </patternFill>
    </fill>
    <fill>
      <patternFill patternType="solid">
        <fgColor theme="0" tint="-0.49995422223578601"/>
        <bgColor indexed="64"/>
      </patternFill>
    </fill>
    <fill>
      <patternFill patternType="solid">
        <fgColor rgb="FFFFC000"/>
        <bgColor indexed="64"/>
      </patternFill>
    </fill>
    <fill>
      <patternFill patternType="solid">
        <fgColor theme="8" tint="0.59996337778862885"/>
        <bgColor indexed="64"/>
      </patternFill>
    </fill>
    <fill>
      <patternFill patternType="solid">
        <fgColor rgb="FFFFFF00"/>
        <bgColor indexed="64"/>
      </patternFill>
    </fill>
    <fill>
      <patternFill patternType="solid">
        <fgColor theme="0" tint="-0.24994659260841701"/>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4.9989318521683403E-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s>
  <cellStyleXfs count="10">
    <xf numFmtId="0" fontId="0" fillId="0" borderId="0"/>
    <xf numFmtId="9" fontId="29" fillId="0" borderId="0" applyFont="0" applyFill="0" applyBorder="0" applyAlignment="0" applyProtection="0"/>
    <xf numFmtId="44" fontId="29" fillId="0" borderId="0" applyFont="0" applyFill="0" applyBorder="0" applyAlignment="0" applyProtection="0"/>
    <xf numFmtId="42"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0" fontId="14" fillId="0" borderId="0" applyNumberFormat="0" applyFill="0" applyBorder="0">
      <protection locked="0"/>
    </xf>
    <xf numFmtId="0" fontId="1" fillId="0" borderId="0"/>
    <xf numFmtId="0" fontId="29" fillId="0" borderId="0"/>
    <xf numFmtId="0" fontId="29" fillId="0" borderId="0"/>
  </cellStyleXfs>
  <cellXfs count="339">
    <xf numFmtId="0" fontId="0" fillId="0" borderId="0" xfId="0"/>
    <xf numFmtId="0" fontId="2" fillId="0" borderId="1" xfId="0" applyFont="1" applyBorder="1" applyAlignment="1">
      <alignment horizontal="left" wrapText="1"/>
    </xf>
    <xf numFmtId="0" fontId="3" fillId="2" borderId="1" xfId="0" applyFont="1" applyFill="1" applyBorder="1" applyAlignment="1">
      <alignment horizontal="left" wrapText="1"/>
    </xf>
    <xf numFmtId="0" fontId="0" fillId="0" borderId="0" xfId="0" applyAlignment="1">
      <alignment horizontal="center"/>
    </xf>
    <xf numFmtId="0" fontId="5" fillId="0" borderId="0" xfId="0" applyFont="1"/>
    <xf numFmtId="0" fontId="9" fillId="3" borderId="1" xfId="0" applyFont="1" applyFill="1" applyBorder="1" applyAlignment="1">
      <alignment horizontal="center" vertical="center" wrapText="1"/>
    </xf>
    <xf numFmtId="0" fontId="7" fillId="0" borderId="1" xfId="0" applyFont="1" applyBorder="1"/>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0" fontId="5" fillId="0" borderId="1" xfId="0" applyFont="1" applyBorder="1" applyAlignment="1">
      <alignment horizontal="center"/>
    </xf>
    <xf numFmtId="0" fontId="9" fillId="3" borderId="1" xfId="0" applyFont="1" applyFill="1" applyBorder="1" applyAlignment="1">
      <alignment horizontal="center" vertical="center"/>
    </xf>
    <xf numFmtId="0" fontId="0" fillId="0" borderId="0" xfId="0" applyAlignment="1">
      <alignment vertical="center"/>
    </xf>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9" fillId="3" borderId="1"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3" borderId="1" xfId="0" applyFont="1" applyFill="1" applyBorder="1" applyAlignment="1">
      <alignment horizontal="center" vertical="center" wrapText="1"/>
    </xf>
    <xf numFmtId="0" fontId="16" fillId="0" borderId="0" xfId="0" applyFont="1"/>
    <xf numFmtId="0" fontId="11" fillId="4" borderId="1" xfId="0" applyFont="1" applyFill="1" applyBorder="1" applyAlignment="1">
      <alignment horizontal="center"/>
    </xf>
    <xf numFmtId="3" fontId="5" fillId="4" borderId="1" xfId="0" applyNumberFormat="1" applyFont="1" applyFill="1" applyBorder="1" applyAlignment="1">
      <alignment horizontal="center"/>
    </xf>
    <xf numFmtId="9" fontId="5" fillId="4" borderId="1" xfId="0" applyNumberFormat="1" applyFont="1" applyFill="1" applyBorder="1" applyAlignment="1">
      <alignment horizont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4" fontId="7" fillId="0" borderId="1" xfId="2" applyNumberFormat="1" applyFont="1" applyBorder="1"/>
    <xf numFmtId="0" fontId="7" fillId="0" borderId="1" xfId="0" applyFont="1"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0" fontId="3" fillId="2"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vertical="center"/>
    </xf>
    <xf numFmtId="164" fontId="10" fillId="5"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19" fillId="5" borderId="1" xfId="0" applyFont="1" applyFill="1" applyBorder="1" applyAlignment="1">
      <alignment horizontal="right" wrapText="1"/>
    </xf>
    <xf numFmtId="0" fontId="5" fillId="0" borderId="1" xfId="0" applyFont="1" applyBorder="1"/>
    <xf numFmtId="0" fontId="5" fillId="8" borderId="1" xfId="0" applyFont="1" applyFill="1" applyBorder="1"/>
    <xf numFmtId="0" fontId="5" fillId="9" borderId="1" xfId="0" quotePrefix="1" applyFont="1" applyFill="1" applyBorder="1" applyAlignment="1">
      <alignment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3" fontId="2" fillId="0" borderId="1" xfId="0" applyNumberFormat="1" applyFont="1" applyBorder="1" applyAlignment="1">
      <alignment horizontal="center"/>
    </xf>
    <xf numFmtId="164" fontId="10" fillId="5"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3" fillId="0" borderId="1" xfId="0" applyNumberFormat="1" applyFont="1" applyBorder="1" applyAlignment="1">
      <alignment vertical="center"/>
    </xf>
    <xf numFmtId="3" fontId="17" fillId="5" borderId="1" xfId="0" applyNumberFormat="1" applyFont="1" applyFill="1" applyBorder="1" applyAlignment="1">
      <alignment vertical="center" wrapText="1"/>
    </xf>
    <xf numFmtId="164" fontId="11" fillId="0" borderId="1" xfId="2" applyNumberFormat="1" applyFont="1" applyFill="1" applyBorder="1" applyAlignment="1">
      <alignment horizontal="center" vertical="center"/>
    </xf>
    <xf numFmtId="164" fontId="5" fillId="0" borderId="1" xfId="2" applyNumberFormat="1" applyFont="1" applyFill="1" applyBorder="1" applyAlignment="1">
      <alignment horizontal="center" vertical="center"/>
    </xf>
    <xf numFmtId="0" fontId="15" fillId="3" borderId="13" xfId="0" applyFont="1" applyFill="1" applyBorder="1" applyAlignment="1">
      <alignment horizontal="center" vertical="center" wrapText="1"/>
    </xf>
    <xf numFmtId="9" fontId="5" fillId="0" borderId="14" xfId="0" applyNumberFormat="1" applyFont="1" applyBorder="1" applyAlignment="1">
      <alignment horizontal="center"/>
    </xf>
    <xf numFmtId="3" fontId="5" fillId="0" borderId="2" xfId="0" applyNumberFormat="1" applyFont="1" applyBorder="1" applyAlignment="1">
      <alignment horizontal="center"/>
    </xf>
    <xf numFmtId="3" fontId="5" fillId="4" borderId="2" xfId="0" applyNumberFormat="1" applyFont="1" applyFill="1" applyBorder="1" applyAlignment="1">
      <alignment horizontal="center"/>
    </xf>
    <xf numFmtId="0" fontId="7" fillId="0" borderId="2" xfId="0" applyFont="1" applyBorder="1"/>
    <xf numFmtId="0" fontId="11" fillId="8" borderId="1" xfId="0" applyFont="1" applyFill="1" applyBorder="1" applyAlignment="1">
      <alignment vertical="center"/>
    </xf>
    <xf numFmtId="0" fontId="11" fillId="9" borderId="1" xfId="0" quotePrefix="1" applyFont="1" applyFill="1" applyBorder="1" applyAlignment="1">
      <alignment vertical="center"/>
    </xf>
    <xf numFmtId="0" fontId="11" fillId="10" borderId="1" xfId="0" applyFont="1" applyFill="1" applyBorder="1" applyAlignment="1">
      <alignment vertical="center"/>
    </xf>
    <xf numFmtId="1" fontId="2" fillId="15" borderId="1" xfId="0" applyNumberFormat="1" applyFont="1" applyFill="1" applyBorder="1" applyAlignment="1">
      <alignment horizontal="center"/>
    </xf>
    <xf numFmtId="3" fontId="2" fillId="15" borderId="1" xfId="0" applyNumberFormat="1" applyFont="1" applyFill="1" applyBorder="1" applyAlignment="1">
      <alignment horizontal="center"/>
    </xf>
    <xf numFmtId="0" fontId="3" fillId="0" borderId="3" xfId="0" applyFont="1" applyBorder="1" applyAlignment="1">
      <alignment vertical="center" wrapText="1"/>
    </xf>
    <xf numFmtId="0" fontId="2" fillId="0" borderId="1" xfId="0" applyFont="1" applyBorder="1" applyAlignment="1">
      <alignment horizontal="left" vertical="center" wrapText="1"/>
    </xf>
    <xf numFmtId="0" fontId="0" fillId="13" borderId="0" xfId="0" applyFill="1"/>
    <xf numFmtId="0" fontId="20" fillId="13" borderId="0" xfId="0" applyFont="1" applyFill="1"/>
    <xf numFmtId="0" fontId="37" fillId="13" borderId="0" xfId="0" applyFont="1" applyFill="1"/>
    <xf numFmtId="166" fontId="0" fillId="13" borderId="0" xfId="0" applyNumberFormat="1" applyFill="1"/>
    <xf numFmtId="0" fontId="0" fillId="13" borderId="0" xfId="0" quotePrefix="1" applyFill="1"/>
    <xf numFmtId="0" fontId="0" fillId="13" borderId="0" xfId="0" applyFill="1" applyAlignment="1">
      <alignment vertical="center"/>
    </xf>
    <xf numFmtId="0" fontId="6" fillId="13" borderId="0" xfId="0" applyFont="1" applyFill="1" applyAlignment="1">
      <alignment vertical="center"/>
    </xf>
    <xf numFmtId="0" fontId="6" fillId="13" borderId="0" xfId="0" applyFont="1" applyFill="1"/>
    <xf numFmtId="0" fontId="12" fillId="13" borderId="0" xfId="0" applyFont="1" applyFill="1" applyAlignment="1">
      <alignment vertical="center"/>
    </xf>
    <xf numFmtId="0" fontId="13" fillId="13" borderId="0" xfId="0" applyFont="1" applyFill="1"/>
    <xf numFmtId="0" fontId="8" fillId="13" borderId="0" xfId="0" applyFont="1" applyFill="1" applyAlignment="1">
      <alignment horizontal="justify" vertical="center"/>
    </xf>
    <xf numFmtId="0" fontId="9" fillId="13" borderId="5" xfId="0" applyFont="1" applyFill="1" applyBorder="1" applyAlignment="1">
      <alignment horizontal="center" vertical="center" wrapText="1"/>
    </xf>
    <xf numFmtId="0" fontId="9" fillId="13" borderId="0" xfId="0" applyFont="1" applyFill="1" applyAlignment="1">
      <alignment horizontal="center" vertical="center" wrapText="1"/>
    </xf>
    <xf numFmtId="3" fontId="5" fillId="13" borderId="6" xfId="0" applyNumberFormat="1" applyFont="1" applyFill="1" applyBorder="1" applyAlignment="1">
      <alignment horizontal="center"/>
    </xf>
    <xf numFmtId="3" fontId="5" fillId="13" borderId="0" xfId="0" applyNumberFormat="1" applyFont="1" applyFill="1" applyAlignment="1">
      <alignment horizontal="center"/>
    </xf>
    <xf numFmtId="0" fontId="0" fillId="0" borderId="0" xfId="0" applyAlignment="1">
      <alignment vertical="top"/>
    </xf>
    <xf numFmtId="3" fontId="11" fillId="0" borderId="1" xfId="0" applyNumberFormat="1" applyFont="1" applyBorder="1" applyAlignment="1">
      <alignment horizontal="center"/>
    </xf>
    <xf numFmtId="0" fontId="2" fillId="0" borderId="16" xfId="0" applyFont="1" applyBorder="1" applyAlignment="1">
      <alignment horizontal="left" wrapText="1"/>
    </xf>
    <xf numFmtId="3" fontId="2" fillId="14" borderId="1" xfId="0" applyNumberFormat="1" applyFont="1" applyFill="1" applyBorder="1" applyAlignment="1">
      <alignment horizontal="center" vertical="center"/>
    </xf>
    <xf numFmtId="9" fontId="3" fillId="11" borderId="1" xfId="1" applyFont="1" applyFill="1" applyBorder="1" applyAlignment="1">
      <alignment horizontal="center" vertical="center"/>
    </xf>
    <xf numFmtId="9" fontId="2" fillId="14" borderId="1" xfId="1" applyFont="1" applyFill="1" applyBorder="1" applyAlignment="1">
      <alignment horizontal="center" vertical="center" wrapText="1"/>
    </xf>
    <xf numFmtId="9" fontId="2" fillId="14" borderId="1" xfId="1" applyFont="1" applyFill="1" applyBorder="1" applyAlignment="1">
      <alignment horizontal="center" vertical="center"/>
    </xf>
    <xf numFmtId="9" fontId="27" fillId="5" borderId="1" xfId="1" applyFont="1" applyFill="1" applyBorder="1" applyAlignment="1">
      <alignment horizontal="center" vertical="center"/>
    </xf>
    <xf numFmtId="9" fontId="2" fillId="14" borderId="1" xfId="1" applyFont="1" applyFill="1" applyBorder="1" applyAlignment="1">
      <alignment horizontal="center"/>
    </xf>
    <xf numFmtId="3" fontId="2" fillId="14" borderId="1" xfId="0" applyNumberFormat="1" applyFont="1" applyFill="1" applyBorder="1" applyAlignment="1">
      <alignment horizontal="center"/>
    </xf>
    <xf numFmtId="9" fontId="3" fillId="11" borderId="1" xfId="1" applyFont="1" applyFill="1" applyBorder="1" applyAlignment="1">
      <alignment horizontal="center"/>
    </xf>
    <xf numFmtId="0" fontId="23" fillId="13" borderId="0" xfId="0" applyFont="1" applyFill="1"/>
    <xf numFmtId="0" fontId="23" fillId="13" borderId="0" xfId="0" applyFont="1" applyFill="1" applyAlignment="1">
      <alignment horizontal="center"/>
    </xf>
    <xf numFmtId="0" fontId="21" fillId="13" borderId="0" xfId="0" applyFont="1" applyFill="1"/>
    <xf numFmtId="0" fontId="22" fillId="13" borderId="0" xfId="0" applyFont="1" applyFill="1"/>
    <xf numFmtId="0" fontId="7" fillId="13" borderId="0" xfId="0" applyFont="1" applyFill="1" applyAlignment="1">
      <alignment vertical="center"/>
    </xf>
    <xf numFmtId="0" fontId="7" fillId="13" borderId="0" xfId="0" applyFont="1" applyFill="1" applyAlignment="1">
      <alignment horizontal="left" vertical="center" wrapText="1"/>
    </xf>
    <xf numFmtId="0" fontId="5" fillId="13" borderId="0" xfId="0" applyFont="1" applyFill="1" applyAlignment="1">
      <alignment horizontal="center"/>
    </xf>
    <xf numFmtId="0" fontId="5" fillId="13" borderId="0" xfId="0" applyFont="1" applyFill="1"/>
    <xf numFmtId="9" fontId="5" fillId="13" borderId="0" xfId="1" applyFont="1" applyFill="1"/>
    <xf numFmtId="0" fontId="5" fillId="13" borderId="0" xfId="0" quotePrefix="1" applyFont="1" applyFill="1"/>
    <xf numFmtId="0" fontId="10" fillId="13" borderId="0" xfId="0" applyFont="1" applyFill="1"/>
    <xf numFmtId="0" fontId="7" fillId="13" borderId="0" xfId="0" applyFont="1" applyFill="1"/>
    <xf numFmtId="3" fontId="10" fillId="13" borderId="0" xfId="0" applyNumberFormat="1" applyFont="1" applyFill="1" applyAlignment="1">
      <alignment horizontal="center"/>
    </xf>
    <xf numFmtId="0" fontId="0" fillId="13" borderId="0" xfId="0" applyFill="1" applyAlignment="1">
      <alignment horizontal="center"/>
    </xf>
    <xf numFmtId="165" fontId="0" fillId="13" borderId="0" xfId="0" applyNumberFormat="1" applyFill="1"/>
    <xf numFmtId="1" fontId="10" fillId="13" borderId="0" xfId="0" applyNumberFormat="1" applyFont="1" applyFill="1" applyAlignment="1">
      <alignment horizontal="center"/>
    </xf>
    <xf numFmtId="0" fontId="10" fillId="13" borderId="0" xfId="0" applyFont="1" applyFill="1" applyAlignment="1">
      <alignment horizontal="center"/>
    </xf>
    <xf numFmtId="0" fontId="7" fillId="13" borderId="0" xfId="0" applyFont="1" applyFill="1" applyAlignment="1">
      <alignment vertical="center" wrapText="1"/>
    </xf>
    <xf numFmtId="165" fontId="0" fillId="13" borderId="0" xfId="4" applyNumberFormat="1" applyFont="1" applyFill="1"/>
    <xf numFmtId="0" fontId="6" fillId="13" borderId="0" xfId="0" applyFont="1" applyFill="1" applyAlignment="1">
      <alignment horizontal="left" vertical="center" wrapText="1"/>
    </xf>
    <xf numFmtId="0" fontId="6" fillId="13" borderId="0" xfId="0" applyFont="1" applyFill="1" applyAlignment="1">
      <alignment horizontal="left" vertical="center"/>
    </xf>
    <xf numFmtId="164" fontId="0" fillId="13" borderId="0" xfId="0" applyNumberFormat="1" applyFill="1"/>
    <xf numFmtId="0" fontId="4" fillId="13" borderId="0" xfId="0" applyFont="1" applyFill="1" applyAlignment="1">
      <alignment vertical="center" wrapText="1"/>
    </xf>
    <xf numFmtId="164" fontId="0" fillId="13" borderId="0" xfId="0" applyNumberFormat="1" applyFill="1" applyAlignment="1">
      <alignment vertical="center"/>
    </xf>
    <xf numFmtId="44" fontId="0" fillId="13" borderId="0" xfId="0" applyNumberFormat="1" applyFill="1"/>
    <xf numFmtId="9" fontId="26" fillId="13" borderId="0" xfId="1" applyFont="1" applyFill="1" applyAlignment="1">
      <alignment horizontal="center" vertical="center"/>
    </xf>
    <xf numFmtId="0" fontId="26" fillId="13" borderId="0" xfId="0" applyFont="1" applyFill="1" applyAlignment="1">
      <alignment horizontal="center" vertical="center"/>
    </xf>
    <xf numFmtId="3" fontId="0" fillId="13" borderId="0" xfId="0" applyNumberFormat="1" applyFill="1" applyAlignment="1">
      <alignment vertical="center"/>
    </xf>
    <xf numFmtId="164" fontId="36" fillId="13" borderId="0" xfId="0" applyNumberFormat="1" applyFont="1" applyFill="1"/>
    <xf numFmtId="44" fontId="0" fillId="13" borderId="0" xfId="0" applyNumberFormat="1" applyFill="1" applyAlignment="1">
      <alignment vertical="center"/>
    </xf>
    <xf numFmtId="0" fontId="4" fillId="13" borderId="0" xfId="0" applyFont="1" applyFill="1" applyAlignment="1">
      <alignment horizontal="center" vertical="center" wrapText="1"/>
    </xf>
    <xf numFmtId="0" fontId="39" fillId="13" borderId="0" xfId="0" applyFont="1" applyFill="1" applyAlignment="1">
      <alignment horizontal="center"/>
    </xf>
    <xf numFmtId="164" fontId="11" fillId="4" borderId="1" xfId="2" applyNumberFormat="1" applyFont="1" applyFill="1" applyBorder="1" applyAlignment="1">
      <alignment horizontal="center" vertical="center"/>
    </xf>
    <xf numFmtId="164" fontId="5" fillId="0" borderId="13" xfId="2" applyNumberFormat="1" applyFont="1" applyFill="1" applyBorder="1" applyAlignment="1">
      <alignment horizontal="center" vertical="center"/>
    </xf>
    <xf numFmtId="164" fontId="11" fillId="4" borderId="13" xfId="2" applyNumberFormat="1" applyFont="1" applyFill="1" applyBorder="1" applyAlignment="1">
      <alignment horizontal="center" vertical="center"/>
    </xf>
    <xf numFmtId="164" fontId="5" fillId="0" borderId="2" xfId="2" applyNumberFormat="1" applyFont="1" applyFill="1" applyBorder="1" applyAlignment="1">
      <alignment horizontal="center" vertical="center"/>
    </xf>
    <xf numFmtId="164" fontId="11" fillId="4" borderId="2" xfId="2" applyNumberFormat="1" applyFont="1" applyFill="1" applyBorder="1" applyAlignment="1">
      <alignment horizontal="center" vertical="center"/>
    </xf>
    <xf numFmtId="164" fontId="5" fillId="0" borderId="1" xfId="2" applyNumberFormat="1" applyFont="1" applyFill="1" applyBorder="1" applyAlignment="1">
      <alignment horizontal="right" vertical="center"/>
    </xf>
    <xf numFmtId="164" fontId="5" fillId="0" borderId="1" xfId="2" applyNumberFormat="1" applyFont="1" applyFill="1" applyBorder="1" applyAlignment="1">
      <alignment horizontal="left" vertical="center"/>
    </xf>
    <xf numFmtId="9" fontId="5" fillId="0" borderId="1" xfId="1" applyFont="1" applyFill="1" applyBorder="1" applyAlignment="1">
      <alignment horizontal="center" vertical="center"/>
    </xf>
    <xf numFmtId="164" fontId="11" fillId="4" borderId="1" xfId="0" applyNumberFormat="1" applyFont="1" applyFill="1" applyBorder="1" applyAlignment="1">
      <alignment horizontal="center" vertical="center"/>
    </xf>
    <xf numFmtId="9" fontId="5" fillId="16" borderId="1" xfId="1" applyFont="1" applyFill="1" applyBorder="1" applyAlignment="1">
      <alignment horizontal="center" vertical="center"/>
    </xf>
    <xf numFmtId="3" fontId="7" fillId="13" borderId="0" xfId="0" applyNumberFormat="1" applyFont="1" applyFill="1" applyAlignment="1">
      <alignment horizontal="center"/>
    </xf>
    <xf numFmtId="1" fontId="7" fillId="13" borderId="0" xfId="0" applyNumberFormat="1" applyFont="1" applyFill="1" applyAlignment="1">
      <alignment horizontal="center"/>
    </xf>
    <xf numFmtId="0" fontId="7" fillId="13" borderId="0" xfId="0" applyFont="1" applyFill="1" applyAlignment="1">
      <alignment horizontal="center"/>
    </xf>
    <xf numFmtId="0" fontId="25" fillId="13" borderId="0" xfId="0" applyFont="1" applyFill="1"/>
    <xf numFmtId="0" fontId="12" fillId="13" borderId="0" xfId="0" applyFont="1" applyFill="1"/>
    <xf numFmtId="0" fontId="8" fillId="13" borderId="0" xfId="0" applyFont="1" applyFill="1"/>
    <xf numFmtId="0" fontId="4" fillId="13" borderId="0" xfId="0" applyFont="1" applyFill="1"/>
    <xf numFmtId="0" fontId="3" fillId="13" borderId="0" xfId="0" applyFont="1" applyFill="1"/>
    <xf numFmtId="3" fontId="18" fillId="13" borderId="0" xfId="0" applyNumberFormat="1" applyFont="1" applyFill="1"/>
    <xf numFmtId="0" fontId="25" fillId="13" borderId="0" xfId="0" applyFont="1" applyFill="1" applyAlignment="1">
      <alignment vertical="center"/>
    </xf>
    <xf numFmtId="0" fontId="6" fillId="13" borderId="0" xfId="0" applyFont="1" applyFill="1" applyAlignment="1">
      <alignment wrapText="1"/>
    </xf>
    <xf numFmtId="0" fontId="16" fillId="13" borderId="0" xfId="0" applyFont="1" applyFill="1"/>
    <xf numFmtId="0" fontId="4" fillId="13" borderId="0" xfId="0" applyFont="1" applyFill="1" applyAlignment="1">
      <alignment horizontal="left" vertical="center" wrapText="1"/>
    </xf>
    <xf numFmtId="0" fontId="3" fillId="13" borderId="0" xfId="0" applyFont="1" applyFill="1" applyAlignment="1">
      <alignment horizontal="left" wrapText="1"/>
    </xf>
    <xf numFmtId="0" fontId="4" fillId="13" borderId="0" xfId="0" applyFont="1" applyFill="1" applyAlignment="1">
      <alignment horizontal="center" wrapText="1"/>
    </xf>
    <xf numFmtId="9" fontId="18" fillId="13" borderId="0" xfId="0" applyNumberFormat="1" applyFont="1" applyFill="1" applyAlignment="1">
      <alignment horizontal="center"/>
    </xf>
    <xf numFmtId="164" fontId="3" fillId="13" borderId="0" xfId="0" applyNumberFormat="1" applyFont="1" applyFill="1"/>
    <xf numFmtId="164" fontId="4" fillId="13" borderId="0" xfId="0" applyNumberFormat="1" applyFont="1" applyFill="1"/>
    <xf numFmtId="9" fontId="4" fillId="13" borderId="0" xfId="0" applyNumberFormat="1" applyFont="1" applyFill="1" applyAlignment="1">
      <alignment horizontal="center"/>
    </xf>
    <xf numFmtId="3" fontId="0" fillId="13" borderId="0" xfId="0" applyNumberFormat="1" applyFill="1"/>
    <xf numFmtId="0" fontId="4" fillId="13" borderId="0" xfId="0" applyFont="1" applyFill="1" applyAlignment="1">
      <alignment horizontal="left" wrapText="1"/>
    </xf>
    <xf numFmtId="37" fontId="4" fillId="13" borderId="0" xfId="4" applyNumberFormat="1" applyFont="1" applyFill="1" applyBorder="1" applyAlignment="1">
      <alignment horizontal="center"/>
    </xf>
    <xf numFmtId="9" fontId="3" fillId="13" borderId="0" xfId="1" applyFont="1" applyFill="1" applyBorder="1" applyAlignment="1">
      <alignment horizontal="center"/>
    </xf>
    <xf numFmtId="10" fontId="0" fillId="13" borderId="0" xfId="0" applyNumberFormat="1" applyFill="1"/>
    <xf numFmtId="0" fontId="25" fillId="13" borderId="0" xfId="0" applyFont="1" applyFill="1" applyAlignment="1">
      <alignment horizontal="center"/>
    </xf>
    <xf numFmtId="0" fontId="28" fillId="13" borderId="0" xfId="0" applyFont="1" applyFill="1"/>
    <xf numFmtId="0" fontId="16" fillId="13" borderId="0" xfId="0" applyFont="1" applyFill="1" applyAlignment="1">
      <alignment wrapText="1"/>
    </xf>
    <xf numFmtId="0" fontId="16" fillId="13" borderId="0" xfId="0" applyFont="1" applyFill="1" applyAlignment="1">
      <alignment horizontal="center" wrapText="1"/>
    </xf>
    <xf numFmtId="10" fontId="32" fillId="13" borderId="0" xfId="0" applyNumberFormat="1" applyFont="1" applyFill="1" applyAlignment="1">
      <alignment wrapText="1"/>
    </xf>
    <xf numFmtId="0" fontId="32" fillId="13" borderId="0" xfId="0" applyFont="1" applyFill="1" applyAlignment="1">
      <alignment wrapText="1"/>
    </xf>
    <xf numFmtId="0" fontId="31" fillId="13" borderId="0" xfId="0" applyFont="1" applyFill="1"/>
    <xf numFmtId="1" fontId="0" fillId="13" borderId="0" xfId="0" applyNumberFormat="1" applyFill="1"/>
    <xf numFmtId="165" fontId="35" fillId="13" borderId="0" xfId="4" applyNumberFormat="1" applyFont="1" applyFill="1" applyBorder="1" applyAlignment="1">
      <alignment horizontal="right"/>
    </xf>
    <xf numFmtId="0" fontId="3" fillId="13" borderId="0" xfId="0" applyFont="1" applyFill="1" applyAlignment="1">
      <alignment horizontal="left" vertical="center"/>
    </xf>
    <xf numFmtId="0" fontId="0" fillId="13" borderId="0" xfId="0" applyFill="1" applyAlignment="1">
      <alignment vertical="top"/>
    </xf>
    <xf numFmtId="3" fontId="40" fillId="13" borderId="0" xfId="0" applyNumberFormat="1" applyFont="1" applyFill="1" applyAlignment="1">
      <alignment horizontal="center" vertical="center" wrapText="1"/>
    </xf>
    <xf numFmtId="10" fontId="11" fillId="8" borderId="1" xfId="0" applyNumberFormat="1" applyFont="1" applyFill="1" applyBorder="1" applyAlignment="1">
      <alignment horizontal="right" vertical="center"/>
    </xf>
    <xf numFmtId="165" fontId="11" fillId="8" borderId="1" xfId="4" applyNumberFormat="1" applyFont="1" applyFill="1" applyBorder="1" applyAlignment="1">
      <alignment horizontal="right" vertical="center"/>
    </xf>
    <xf numFmtId="165" fontId="11" fillId="9" borderId="1" xfId="0" applyNumberFormat="1" applyFont="1" applyFill="1" applyBorder="1" applyAlignment="1">
      <alignment horizontal="right" vertical="center"/>
    </xf>
    <xf numFmtId="166" fontId="11" fillId="10" borderId="1" xfId="0" applyNumberFormat="1" applyFont="1" applyFill="1" applyBorder="1" applyAlignment="1">
      <alignment horizontal="right" vertical="center"/>
    </xf>
    <xf numFmtId="10" fontId="11" fillId="9" borderId="1" xfId="0" applyNumberFormat="1" applyFont="1" applyFill="1" applyBorder="1" applyAlignment="1">
      <alignment horizontal="right" vertical="center"/>
    </xf>
    <xf numFmtId="166" fontId="11" fillId="9" borderId="1" xfId="0" applyNumberFormat="1" applyFont="1" applyFill="1" applyBorder="1" applyAlignment="1">
      <alignment horizontal="right" vertical="center"/>
    </xf>
    <xf numFmtId="165" fontId="11" fillId="10" borderId="1" xfId="0" applyNumberFormat="1" applyFont="1" applyFill="1" applyBorder="1" applyAlignment="1">
      <alignment horizontal="right" vertical="center"/>
    </xf>
    <xf numFmtId="9" fontId="12" fillId="9" borderId="1" xfId="1" applyFont="1" applyFill="1" applyBorder="1" applyAlignment="1">
      <alignment horizontal="right" vertical="center"/>
    </xf>
    <xf numFmtId="165" fontId="5" fillId="9" borderId="1" xfId="0" applyNumberFormat="1" applyFont="1" applyFill="1" applyBorder="1" applyAlignment="1">
      <alignment horizontal="right" vertical="center"/>
    </xf>
    <xf numFmtId="166" fontId="5" fillId="9" borderId="1" xfId="1" applyNumberFormat="1" applyFont="1" applyFill="1" applyBorder="1" applyAlignment="1">
      <alignment horizontal="right" vertical="center"/>
    </xf>
    <xf numFmtId="9" fontId="6" fillId="9" borderId="1" xfId="1" applyFont="1" applyFill="1" applyBorder="1" applyAlignment="1">
      <alignment horizontal="right" vertical="center"/>
    </xf>
    <xf numFmtId="9" fontId="31" fillId="13" borderId="0" xfId="1" applyFont="1" applyFill="1"/>
    <xf numFmtId="43" fontId="0" fillId="13" borderId="0" xfId="0" applyNumberFormat="1" applyFill="1" applyAlignment="1">
      <alignment vertical="center"/>
    </xf>
    <xf numFmtId="9" fontId="3" fillId="7" borderId="1" xfId="1" applyFont="1" applyFill="1" applyBorder="1" applyAlignment="1">
      <alignment horizontal="center" vertical="center"/>
    </xf>
    <xf numFmtId="0" fontId="0" fillId="13" borderId="0" xfId="0" applyFill="1" applyAlignment="1">
      <alignment horizontal="right" vertical="center"/>
    </xf>
    <xf numFmtId="0" fontId="3" fillId="7" borderId="1" xfId="0" applyFont="1" applyFill="1" applyBorder="1" applyAlignment="1">
      <alignment horizontal="right" vertical="center" wrapText="1"/>
    </xf>
    <xf numFmtId="9" fontId="0" fillId="13" borderId="0" xfId="0" applyNumberFormat="1" applyFill="1" applyAlignment="1">
      <alignment horizontal="right" vertical="center"/>
    </xf>
    <xf numFmtId="0" fontId="0" fillId="0" borderId="0" xfId="0" applyAlignment="1">
      <alignment horizontal="right" vertical="center"/>
    </xf>
    <xf numFmtId="0" fontId="2" fillId="14" borderId="1" xfId="0" applyFont="1" applyFill="1" applyBorder="1" applyAlignment="1">
      <alignment horizontal="center" wrapText="1"/>
    </xf>
    <xf numFmtId="9" fontId="3" fillId="2" borderId="1" xfId="1" applyFont="1" applyFill="1" applyBorder="1" applyAlignment="1">
      <alignment horizontal="center"/>
    </xf>
    <xf numFmtId="9" fontId="3" fillId="2" borderId="1" xfId="1" applyFont="1" applyFill="1" applyBorder="1" applyAlignment="1">
      <alignment horizontal="center" vertical="center"/>
    </xf>
    <xf numFmtId="0" fontId="19" fillId="0" borderId="1" xfId="0" applyFont="1" applyBorder="1" applyAlignment="1">
      <alignment horizontal="left" wrapText="1" indent="4"/>
    </xf>
    <xf numFmtId="3" fontId="31" fillId="13" borderId="0" xfId="0" applyNumberFormat="1" applyFont="1" applyFill="1"/>
    <xf numFmtId="9" fontId="0" fillId="13" borderId="0" xfId="1" applyFont="1" applyFill="1"/>
    <xf numFmtId="3" fontId="3" fillId="13" borderId="0" xfId="0" applyNumberFormat="1" applyFont="1" applyFill="1" applyAlignment="1">
      <alignment horizontal="left" wrapText="1"/>
    </xf>
    <xf numFmtId="3" fontId="3" fillId="13" borderId="0" xfId="0" applyNumberFormat="1" applyFont="1" applyFill="1" applyAlignment="1">
      <alignment horizontal="center" wrapText="1"/>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0" borderId="0" xfId="0" applyFont="1" applyAlignment="1">
      <alignment horizontal="center" vertical="center" wrapText="1"/>
    </xf>
    <xf numFmtId="3" fontId="2" fillId="14" borderId="1" xfId="0" applyNumberFormat="1" applyFont="1" applyFill="1" applyBorder="1" applyAlignment="1">
      <alignment horizontal="center" vertical="center" wrapText="1"/>
    </xf>
    <xf numFmtId="3" fontId="2" fillId="14" borderId="2"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2" fillId="14" borderId="1" xfId="4" applyNumberFormat="1" applyFont="1" applyFill="1" applyBorder="1" applyAlignment="1">
      <alignment horizontal="center" vertical="center"/>
    </xf>
    <xf numFmtId="3" fontId="2" fillId="0" borderId="1" xfId="4" applyNumberFormat="1" applyFont="1" applyFill="1" applyBorder="1" applyAlignment="1">
      <alignment horizontal="center" vertical="center"/>
    </xf>
    <xf numFmtId="0" fontId="3" fillId="0" borderId="3" xfId="0" applyFont="1" applyBorder="1" applyAlignment="1">
      <alignment horizontal="center" vertical="center" wrapText="1"/>
    </xf>
    <xf numFmtId="3" fontId="3" fillId="11" borderId="1" xfId="0" applyNumberFormat="1" applyFont="1" applyFill="1" applyBorder="1" applyAlignment="1">
      <alignment horizontal="center" vertical="center"/>
    </xf>
    <xf numFmtId="0" fontId="3" fillId="4" borderId="3" xfId="0" applyFont="1" applyFill="1" applyBorder="1" applyAlignment="1">
      <alignment horizontal="center" vertical="center"/>
    </xf>
    <xf numFmtId="3" fontId="2" fillId="0" borderId="1" xfId="4" applyNumberFormat="1" applyFont="1" applyFill="1" applyBorder="1" applyAlignment="1">
      <alignment horizontal="center"/>
    </xf>
    <xf numFmtId="3" fontId="2" fillId="14" borderId="1" xfId="4" applyNumberFormat="1" applyFont="1" applyFill="1" applyBorder="1" applyAlignment="1">
      <alignment horizontal="center"/>
    </xf>
    <xf numFmtId="3" fontId="3" fillId="11" borderId="1" xfId="0" applyNumberFormat="1" applyFont="1" applyFill="1" applyBorder="1" applyAlignment="1">
      <alignment horizontal="center"/>
    </xf>
    <xf numFmtId="3" fontId="3" fillId="2" borderId="1" xfId="0" applyNumberFormat="1" applyFont="1" applyFill="1" applyBorder="1" applyAlignment="1">
      <alignment horizontal="center"/>
    </xf>
    <xf numFmtId="0" fontId="3" fillId="4" borderId="3" xfId="0" applyFont="1" applyFill="1" applyBorder="1" applyAlignment="1">
      <alignment horizontal="center" vertical="center" wrapText="1"/>
    </xf>
    <xf numFmtId="3" fontId="2" fillId="14" borderId="1" xfId="0" applyNumberFormat="1" applyFont="1" applyFill="1" applyBorder="1" applyAlignment="1">
      <alignment horizontal="center" wrapText="1"/>
    </xf>
    <xf numFmtId="164" fontId="2" fillId="14" borderId="4" xfId="2" applyNumberFormat="1" applyFont="1" applyFill="1" applyBorder="1" applyAlignment="1">
      <alignment vertical="center"/>
    </xf>
    <xf numFmtId="164" fontId="2" fillId="14" borderId="1" xfId="2" applyNumberFormat="1" applyFont="1" applyFill="1" applyBorder="1" applyAlignment="1">
      <alignment vertical="center"/>
    </xf>
    <xf numFmtId="164" fontId="3" fillId="2" borderId="1" xfId="2" applyNumberFormat="1" applyFont="1" applyFill="1" applyBorder="1" applyAlignment="1">
      <alignment vertical="center"/>
    </xf>
    <xf numFmtId="164" fontId="2" fillId="14" borderId="1" xfId="2" applyNumberFormat="1" applyFont="1" applyFill="1" applyBorder="1" applyAlignment="1"/>
    <xf numFmtId="164" fontId="3" fillId="2" borderId="1" xfId="2" applyNumberFormat="1" applyFont="1" applyFill="1" applyBorder="1" applyAlignment="1"/>
    <xf numFmtId="164" fontId="2" fillId="14" borderId="1" xfId="0" applyNumberFormat="1" applyFont="1" applyFill="1" applyBorder="1" applyAlignment="1">
      <alignment wrapText="1"/>
    </xf>
    <xf numFmtId="3" fontId="3" fillId="5" borderId="1" xfId="0" applyNumberFormat="1" applyFont="1" applyFill="1" applyBorder="1" applyAlignment="1">
      <alignment horizontal="center" vertical="center" wrapText="1"/>
    </xf>
    <xf numFmtId="9" fontId="3" fillId="5" borderId="1" xfId="1" applyFont="1" applyFill="1" applyBorder="1" applyAlignment="1">
      <alignment horizontal="center" vertical="center"/>
    </xf>
    <xf numFmtId="164" fontId="3" fillId="5" borderId="1" xfId="2" applyNumberFormat="1" applyFont="1" applyFill="1" applyBorder="1" applyAlignment="1">
      <alignment vertical="center"/>
    </xf>
    <xf numFmtId="0" fontId="3" fillId="4" borderId="4" xfId="0"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164" fontId="3" fillId="2" borderId="1" xfId="2" applyNumberFormat="1" applyFont="1" applyFill="1" applyBorder="1" applyAlignment="1">
      <alignment horizontal="center"/>
    </xf>
    <xf numFmtId="164" fontId="3" fillId="7" borderId="1" xfId="2" applyNumberFormat="1" applyFont="1" applyFill="1" applyBorder="1" applyAlignment="1">
      <alignment horizontal="center" vertical="center" wrapText="1"/>
    </xf>
    <xf numFmtId="9" fontId="3" fillId="0" borderId="1" xfId="1" applyFont="1" applyFill="1" applyBorder="1" applyAlignment="1">
      <alignment horizontal="center" vertical="center"/>
    </xf>
    <xf numFmtId="0" fontId="24" fillId="13" borderId="0" xfId="0" applyFont="1" applyFill="1" applyAlignment="1">
      <alignment horizontal="left" vertical="center"/>
    </xf>
    <xf numFmtId="0" fontId="24" fillId="13" borderId="0" xfId="0" applyFont="1" applyFill="1" applyAlignment="1">
      <alignment horizontal="left" vertical="top"/>
    </xf>
    <xf numFmtId="0" fontId="41" fillId="13" borderId="0" xfId="0" applyFont="1" applyFill="1" applyAlignment="1">
      <alignment horizontal="left" vertical="center"/>
    </xf>
    <xf numFmtId="0" fontId="42" fillId="13" borderId="0" xfId="0" applyFont="1" applyFill="1" applyAlignment="1">
      <alignment horizontal="left" vertical="top"/>
    </xf>
    <xf numFmtId="0" fontId="24" fillId="13" borderId="0" xfId="0" applyFont="1" applyFill="1" applyAlignment="1">
      <alignment vertical="top"/>
    </xf>
    <xf numFmtId="3" fontId="32" fillId="13" borderId="0" xfId="0" applyNumberFormat="1" applyFont="1" applyFill="1" applyAlignment="1">
      <alignment wrapText="1"/>
    </xf>
    <xf numFmtId="164" fontId="7" fillId="0" borderId="13" xfId="2" applyNumberFormat="1" applyFont="1" applyFill="1" applyBorder="1"/>
    <xf numFmtId="164" fontId="7" fillId="0" borderId="15" xfId="2" applyNumberFormat="1" applyFont="1" applyFill="1" applyBorder="1"/>
    <xf numFmtId="164" fontId="7" fillId="0" borderId="14" xfId="2" applyNumberFormat="1" applyFont="1" applyFill="1" applyBorder="1"/>
    <xf numFmtId="164" fontId="7" fillId="0" borderId="1" xfId="2" applyNumberFormat="1" applyFont="1" applyFill="1" applyBorder="1"/>
    <xf numFmtId="164" fontId="7" fillId="0" borderId="1" xfId="2" applyNumberFormat="1" applyFont="1" applyFill="1" applyBorder="1" applyAlignment="1">
      <alignment horizontal="left"/>
    </xf>
    <xf numFmtId="165" fontId="5" fillId="0" borderId="1" xfId="4" applyNumberFormat="1" applyFont="1" applyBorder="1" applyAlignment="1">
      <alignment horizontal="center" vertical="center"/>
    </xf>
    <xf numFmtId="165" fontId="5" fillId="0" borderId="1" xfId="4" applyNumberFormat="1" applyFont="1" applyBorder="1" applyAlignment="1">
      <alignment horizontal="center" vertical="center" wrapText="1"/>
    </xf>
    <xf numFmtId="0" fontId="0" fillId="13" borderId="0" xfId="0" applyFill="1" applyAlignment="1">
      <alignment horizontal="center" vertical="center" wrapText="1"/>
    </xf>
    <xf numFmtId="0" fontId="0" fillId="0" borderId="0" xfId="0" applyAlignment="1">
      <alignment horizontal="center" vertical="center" wrapText="1"/>
    </xf>
    <xf numFmtId="165" fontId="44" fillId="0" borderId="1" xfId="6" applyNumberFormat="1" applyFont="1" applyBorder="1" applyAlignment="1" applyProtection="1">
      <alignment horizontal="center" vertical="center" wrapText="1"/>
    </xf>
    <xf numFmtId="165" fontId="29" fillId="13" borderId="0" xfId="4" applyNumberFormat="1" applyFont="1" applyFill="1"/>
    <xf numFmtId="165" fontId="29" fillId="13" borderId="0" xfId="4" applyNumberFormat="1" applyFont="1" applyFill="1" applyAlignment="1">
      <alignment wrapText="1"/>
    </xf>
    <xf numFmtId="165" fontId="29" fillId="13" borderId="0" xfId="4" applyNumberFormat="1" applyFont="1" applyFill="1" applyAlignment="1">
      <alignment horizontal="right" vertical="center"/>
    </xf>
    <xf numFmtId="165" fontId="29" fillId="0" borderId="0" xfId="4" applyNumberFormat="1" applyFont="1"/>
    <xf numFmtId="3" fontId="2" fillId="0" borderId="1" xfId="0" applyNumberFormat="1" applyFont="1" applyBorder="1" applyAlignment="1">
      <alignment horizontal="center" vertical="center"/>
    </xf>
    <xf numFmtId="3" fontId="5" fillId="0" borderId="1" xfId="4" applyNumberFormat="1" applyFont="1" applyBorder="1" applyAlignment="1">
      <alignment horizontal="center" vertical="center" wrapText="1"/>
    </xf>
    <xf numFmtId="3" fontId="5" fillId="0" borderId="1" xfId="4"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3" fontId="2" fillId="10" borderId="1" xfId="4" applyNumberFormat="1" applyFont="1" applyFill="1" applyBorder="1" applyAlignment="1">
      <alignment horizontal="center" vertical="center"/>
    </xf>
    <xf numFmtId="3" fontId="2" fillId="0" borderId="1" xfId="0" applyNumberFormat="1" applyFont="1" applyBorder="1" applyAlignment="1">
      <alignment horizontal="center" wrapText="1"/>
    </xf>
    <xf numFmtId="0" fontId="19" fillId="5" borderId="4" xfId="0" applyFont="1" applyFill="1" applyBorder="1" applyAlignment="1">
      <alignment horizontal="right" wrapText="1"/>
    </xf>
    <xf numFmtId="3" fontId="2" fillId="14" borderId="4" xfId="0" applyNumberFormat="1" applyFont="1" applyFill="1" applyBorder="1" applyAlignment="1">
      <alignment horizontal="center" vertical="center" wrapText="1"/>
    </xf>
    <xf numFmtId="0" fontId="3" fillId="4" borderId="1" xfId="0" applyFont="1" applyFill="1" applyBorder="1" applyAlignment="1">
      <alignment vertical="center" wrapText="1"/>
    </xf>
    <xf numFmtId="3" fontId="3" fillId="5" borderId="4"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xf>
    <xf numFmtId="0" fontId="3" fillId="4" borderId="1" xfId="0" applyFont="1" applyFill="1" applyBorder="1" applyAlignment="1">
      <alignment vertical="center"/>
    </xf>
    <xf numFmtId="164" fontId="2" fillId="13" borderId="1" xfId="2" applyNumberFormat="1" applyFont="1" applyFill="1" applyBorder="1" applyAlignment="1">
      <alignment vertical="center"/>
    </xf>
    <xf numFmtId="0" fontId="2" fillId="13" borderId="1" xfId="0" applyFont="1" applyFill="1" applyBorder="1" applyAlignment="1">
      <alignment horizontal="center" wrapText="1"/>
    </xf>
    <xf numFmtId="3" fontId="2" fillId="13" borderId="1" xfId="0" applyNumberFormat="1" applyFont="1" applyFill="1" applyBorder="1" applyAlignment="1">
      <alignment horizontal="center" vertical="center"/>
    </xf>
    <xf numFmtId="3" fontId="2" fillId="13" borderId="1" xfId="0" applyNumberFormat="1" applyFont="1" applyFill="1" applyBorder="1" applyAlignment="1">
      <alignment horizontal="center" wrapText="1"/>
    </xf>
    <xf numFmtId="3" fontId="2" fillId="13" borderId="1" xfId="4" applyNumberFormat="1" applyFont="1" applyFill="1" applyBorder="1" applyAlignment="1">
      <alignment horizontal="center" vertical="center"/>
    </xf>
    <xf numFmtId="43" fontId="0" fillId="13" borderId="0" xfId="4" applyFont="1" applyFill="1"/>
    <xf numFmtId="0" fontId="2" fillId="10" borderId="1" xfId="0" applyFont="1" applyFill="1" applyBorder="1" applyAlignment="1">
      <alignment horizontal="left" wrapText="1"/>
    </xf>
    <xf numFmtId="0" fontId="7" fillId="13" borderId="0" xfId="0" applyFont="1" applyFill="1" applyAlignment="1">
      <alignment horizontal="center" vertical="center" wrapText="1"/>
    </xf>
    <xf numFmtId="0" fontId="24" fillId="13" borderId="0" xfId="0" applyFont="1" applyFill="1" applyAlignment="1">
      <alignment horizontal="center" vertical="center"/>
    </xf>
    <xf numFmtId="164" fontId="2" fillId="14" borderId="4" xfId="2" applyNumberFormat="1" applyFont="1" applyFill="1" applyBorder="1" applyAlignment="1">
      <alignment horizontal="center" vertical="center"/>
    </xf>
    <xf numFmtId="164" fontId="2" fillId="14" borderId="1" xfId="2" applyNumberFormat="1" applyFont="1" applyFill="1" applyBorder="1" applyAlignment="1">
      <alignment horizontal="center" vertical="center"/>
    </xf>
    <xf numFmtId="164" fontId="3" fillId="2" borderId="1" xfId="2" applyNumberFormat="1" applyFont="1" applyFill="1" applyBorder="1" applyAlignment="1">
      <alignment horizontal="center" vertical="center"/>
    </xf>
    <xf numFmtId="164" fontId="2" fillId="13" borderId="1" xfId="2" applyNumberFormat="1" applyFont="1" applyFill="1" applyBorder="1" applyAlignment="1">
      <alignment horizontal="center" vertical="center"/>
    </xf>
    <xf numFmtId="164" fontId="3" fillId="5" borderId="1" xfId="2" applyNumberFormat="1" applyFont="1" applyFill="1" applyBorder="1" applyAlignment="1">
      <alignment horizontal="center" vertical="center"/>
    </xf>
    <xf numFmtId="164" fontId="3" fillId="13" borderId="0" xfId="0" applyNumberFormat="1" applyFont="1" applyFill="1" applyAlignment="1">
      <alignment horizontal="center"/>
    </xf>
    <xf numFmtId="164" fontId="18" fillId="13" borderId="0" xfId="0" applyNumberFormat="1" applyFont="1" applyFill="1" applyAlignment="1">
      <alignment horizontal="center"/>
    </xf>
    <xf numFmtId="0" fontId="7" fillId="13" borderId="2" xfId="0" applyFont="1" applyFill="1" applyBorder="1" applyAlignment="1">
      <alignment horizontal="left" vertical="center" wrapText="1"/>
    </xf>
    <xf numFmtId="0" fontId="7" fillId="13" borderId="3" xfId="0" applyFont="1" applyFill="1" applyBorder="1" applyAlignment="1">
      <alignment horizontal="left" vertical="center" wrapText="1"/>
    </xf>
    <xf numFmtId="0" fontId="7" fillId="13" borderId="4" xfId="0" applyFont="1" applyFill="1" applyBorder="1" applyAlignment="1">
      <alignment horizontal="left" vertical="center" wrapText="1"/>
    </xf>
    <xf numFmtId="0" fontId="7" fillId="13" borderId="1"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13" borderId="7" xfId="0" applyFont="1" applyFill="1" applyBorder="1" applyAlignment="1">
      <alignment horizontal="left" vertical="center" wrapText="1"/>
    </xf>
    <xf numFmtId="0" fontId="5" fillId="13" borderId="8" xfId="0" applyFont="1" applyFill="1" applyBorder="1" applyAlignment="1">
      <alignment horizontal="left" vertical="center" wrapText="1"/>
    </xf>
    <xf numFmtId="0" fontId="5" fillId="13" borderId="9" xfId="0" applyFont="1" applyFill="1" applyBorder="1" applyAlignment="1">
      <alignment horizontal="left" vertical="center" wrapText="1"/>
    </xf>
    <xf numFmtId="0" fontId="5" fillId="13" borderId="10" xfId="0" applyFont="1" applyFill="1" applyBorder="1" applyAlignment="1">
      <alignment horizontal="left" vertical="center" wrapText="1"/>
    </xf>
    <xf numFmtId="0" fontId="5" fillId="13" borderId="11" xfId="0" applyFont="1" applyFill="1" applyBorder="1" applyAlignment="1">
      <alignment horizontal="left" vertical="center" wrapText="1"/>
    </xf>
    <xf numFmtId="0" fontId="5" fillId="13" borderId="1"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2" fillId="13" borderId="4"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6" fillId="13" borderId="5"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8" xfId="0" applyFont="1" applyFill="1" applyBorder="1" applyAlignment="1">
      <alignment horizontal="left" vertical="center" wrapText="1"/>
    </xf>
    <xf numFmtId="0" fontId="6" fillId="13" borderId="6" xfId="0" applyFont="1" applyFill="1" applyBorder="1" applyAlignment="1">
      <alignment horizontal="left" vertical="center" wrapText="1"/>
    </xf>
    <xf numFmtId="0" fontId="6" fillId="13" borderId="0" xfId="0" applyFont="1" applyFill="1" applyAlignment="1">
      <alignment horizontal="left" vertical="center" wrapText="1"/>
    </xf>
    <xf numFmtId="0" fontId="6" fillId="13" borderId="12" xfId="0" applyFont="1" applyFill="1" applyBorder="1" applyAlignment="1">
      <alignment horizontal="left" vertical="center" wrapText="1"/>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6" fillId="13" borderId="11" xfId="0" applyFont="1" applyFill="1" applyBorder="1" applyAlignment="1">
      <alignment horizontal="left" vertical="center" wrapText="1"/>
    </xf>
    <xf numFmtId="0" fontId="38" fillId="16" borderId="8" xfId="0" applyFont="1" applyFill="1" applyBorder="1" applyAlignment="1">
      <alignment horizontal="center" vertical="center" textRotation="90"/>
    </xf>
    <xf numFmtId="0" fontId="38" fillId="16" borderId="12" xfId="0" applyFont="1" applyFill="1" applyBorder="1" applyAlignment="1">
      <alignment horizontal="center" vertical="center" textRotation="90"/>
    </xf>
    <xf numFmtId="0" fontId="38" fillId="16" borderId="11" xfId="0" applyFont="1" applyFill="1" applyBorder="1" applyAlignment="1">
      <alignment horizontal="center" vertical="center" textRotation="90"/>
    </xf>
    <xf numFmtId="0" fontId="7" fillId="13" borderId="1" xfId="0" applyFont="1" applyFill="1" applyBorder="1" applyAlignment="1">
      <alignment horizontal="left" vertical="top" wrapText="1"/>
    </xf>
    <xf numFmtId="0" fontId="6" fillId="13" borderId="1" xfId="0" applyFont="1" applyFill="1" applyBorder="1" applyAlignment="1">
      <alignment horizontal="left" vertical="center" wrapText="1"/>
    </xf>
    <xf numFmtId="0" fontId="2" fillId="13" borderId="1" xfId="0" applyFont="1" applyFill="1" applyBorder="1" applyAlignment="1">
      <alignment horizontal="left" vertical="top" wrapText="1"/>
    </xf>
    <xf numFmtId="0" fontId="2" fillId="13" borderId="1" xfId="6" applyFont="1" applyFill="1" applyBorder="1" applyAlignment="1" applyProtection="1">
      <alignment vertical="center" wrapText="1"/>
    </xf>
    <xf numFmtId="0" fontId="2" fillId="13" borderId="2" xfId="0" applyFont="1" applyFill="1" applyBorder="1" applyAlignment="1">
      <alignment horizontal="left" vertical="center"/>
    </xf>
    <xf numFmtId="0" fontId="2" fillId="13" borderId="3" xfId="0" applyFont="1" applyFill="1" applyBorder="1" applyAlignment="1">
      <alignment horizontal="left" vertical="center"/>
    </xf>
    <xf numFmtId="0" fontId="2" fillId="13" borderId="4" xfId="0" applyFont="1" applyFill="1" applyBorder="1" applyAlignment="1">
      <alignment horizontal="left" vertical="center"/>
    </xf>
    <xf numFmtId="0" fontId="7" fillId="13" borderId="1" xfId="0" applyFont="1" applyFill="1" applyBorder="1" applyAlignment="1">
      <alignment horizontal="left" vertical="center"/>
    </xf>
    <xf numFmtId="0" fontId="7" fillId="13" borderId="1" xfId="0" applyFont="1" applyFill="1" applyBorder="1" applyAlignment="1">
      <alignment vertical="center" wrapText="1"/>
    </xf>
    <xf numFmtId="0" fontId="0" fillId="13" borderId="1" xfId="0" applyFill="1" applyBorder="1" applyAlignment="1">
      <alignment vertical="center" wrapText="1"/>
    </xf>
    <xf numFmtId="0" fontId="6" fillId="0" borderId="1" xfId="0" applyFont="1" applyBorder="1" applyAlignment="1">
      <alignment horizontal="left" vertical="center"/>
    </xf>
    <xf numFmtId="0" fontId="9" fillId="12" borderId="1" xfId="0" applyFont="1" applyFill="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5" fillId="0" borderId="2" xfId="0" applyFont="1" applyBorder="1" applyAlignment="1">
      <alignment horizontal="left"/>
    </xf>
    <xf numFmtId="0" fontId="5" fillId="0" borderId="4" xfId="0" applyFont="1" applyBorder="1" applyAlignment="1">
      <alignment horizontal="left"/>
    </xf>
    <xf numFmtId="0" fontId="33" fillId="13" borderId="2" xfId="0" applyFont="1" applyFill="1" applyBorder="1" applyAlignment="1">
      <alignment horizontal="left" vertical="center"/>
    </xf>
    <xf numFmtId="0" fontId="33" fillId="13" borderId="3" xfId="0" applyFont="1" applyFill="1" applyBorder="1" applyAlignment="1">
      <alignment horizontal="left" vertical="center"/>
    </xf>
    <xf numFmtId="0" fontId="33" fillId="13" borderId="4" xfId="0" applyFont="1" applyFill="1" applyBorder="1" applyAlignment="1">
      <alignment horizontal="left" vertical="center"/>
    </xf>
    <xf numFmtId="0" fontId="6" fillId="10"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9" fillId="12" borderId="10"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4" fillId="0" borderId="2" xfId="0" applyFont="1" applyBorder="1" applyAlignment="1">
      <alignment horizontal="right" vertical="center"/>
    </xf>
    <xf numFmtId="0" fontId="34" fillId="0" borderId="4" xfId="0" applyFont="1" applyBorder="1" applyAlignment="1">
      <alignment horizontal="right" vertical="center"/>
    </xf>
    <xf numFmtId="0" fontId="33" fillId="0" borderId="2" xfId="0" applyFont="1" applyBorder="1" applyAlignment="1">
      <alignment horizontal="left" vertical="center"/>
    </xf>
    <xf numFmtId="0" fontId="33" fillId="0" borderId="4" xfId="0" applyFont="1" applyBorder="1" applyAlignment="1">
      <alignment horizontal="left" vertical="center"/>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3" xfId="7" xr:uid="{8ED4B8F3-E752-427D-AC5F-9CEDFC1ECF59}"/>
    <cellStyle name="Normal 93 5" xfId="8" xr:uid="{91EB2BF1-C34B-4845-91D8-8F2A0BA1F200}"/>
    <cellStyle name="Normal 93 5 2" xfId="9" xr:uid="{1823EFD2-FF7B-472A-80DB-BB06CE192339}"/>
    <cellStyle name="Percent"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Rodriguez, Ilse:(ComEd)" id="{BA2B3981-C5E5-49DF-AFD9-5E37C6648BF5}" userId="S::E092923@exelonds.com::21c8a896-39e0-47fb-bdc8-6ba5147fc20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3" dT="2024-04-25T15:03:11.49" personId="{BA2B3981-C5E5-49DF-AFD9-5E37C6648BF5}" id="{0CE1AF34-9ADF-4AB1-8464-003BA59B7055}">
    <text>Can hide row</text>
  </threadedComment>
  <threadedComment ref="A62" dT="2024-04-25T17:12:31.65" personId="{BA2B3981-C5E5-49DF-AFD9-5E37C6648BF5}" id="{2F52308F-90DA-4117-9EEF-200440739BF9}">
    <text>Can hide</text>
  </threadedComment>
  <threadedComment ref="C86" dT="2024-04-17T19:17:29.81" personId="{BA2B3981-C5E5-49DF-AFD9-5E37C6648BF5}" id="{EA3AC1BD-1CEE-42ED-A19A-08432C76EADD}" done="1">
    <text>Was missing 6000 from RPP</text>
  </threadedComment>
  <threadedComment ref="C91" dT="2024-04-17T19:18:15.32" personId="{BA2B3981-C5E5-49DF-AFD9-5E37C6648BF5}" id="{0E908002-B1DC-430A-9016-77AF332BFFA9}" done="1">
    <text>Added program - electrification component added this year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5D26-E036-4123-89E3-BBB6FE88CEE2}">
  <sheetPr>
    <tabColor theme="0"/>
    <pageSetUpPr fitToPage="1"/>
  </sheetPr>
  <dimension ref="A1:Y135"/>
  <sheetViews>
    <sheetView topLeftCell="A102" zoomScaleNormal="100" workbookViewId="0">
      <selection activeCell="A119" sqref="A119:L119"/>
    </sheetView>
  </sheetViews>
  <sheetFormatPr defaultColWidth="9.109375" defaultRowHeight="22.5" customHeight="1" x14ac:dyDescent="0.3"/>
  <cols>
    <col min="1" max="1" width="43" customWidth="1"/>
    <col min="2" max="2" width="12.88671875" customWidth="1"/>
    <col min="3" max="4" width="11.88671875" customWidth="1"/>
    <col min="5" max="5" width="14.6640625" customWidth="1"/>
    <col min="6" max="6" width="17" style="3" customWidth="1"/>
    <col min="7" max="7" width="14.5546875" style="3" customWidth="1"/>
    <col min="8" max="11" width="15.5546875" customWidth="1"/>
    <col min="12" max="12" width="14.109375" customWidth="1"/>
    <col min="13" max="13" width="29.109375" style="247" customWidth="1"/>
    <col min="14" max="14" width="24.5546875" customWidth="1"/>
    <col min="15" max="16" width="14" customWidth="1"/>
    <col min="17" max="17" width="18.109375" customWidth="1"/>
    <col min="18" max="18" width="17.5546875" customWidth="1"/>
    <col min="19" max="19" width="10.5546875" bestFit="1" customWidth="1"/>
    <col min="20" max="20" width="17" bestFit="1" customWidth="1"/>
    <col min="21" max="21" width="13.109375" bestFit="1" customWidth="1"/>
  </cols>
  <sheetData>
    <row r="1" spans="1:25" ht="22.5" customHeight="1" x14ac:dyDescent="0.3">
      <c r="A1" s="73" t="s">
        <v>0</v>
      </c>
      <c r="B1" s="73"/>
      <c r="C1" s="73"/>
      <c r="D1" s="73"/>
      <c r="E1" s="66"/>
      <c r="F1" s="105"/>
      <c r="G1" s="105"/>
      <c r="H1" s="66"/>
      <c r="I1" s="66"/>
      <c r="J1" s="66"/>
      <c r="K1" s="66"/>
      <c r="L1" s="66"/>
      <c r="M1" s="244"/>
      <c r="N1" s="66"/>
      <c r="O1" s="66"/>
      <c r="P1" s="66"/>
      <c r="Q1" s="66"/>
      <c r="R1" s="66"/>
      <c r="S1" s="66"/>
      <c r="T1" s="66"/>
      <c r="U1" s="66"/>
      <c r="V1" s="66"/>
      <c r="W1" s="66"/>
      <c r="X1" s="66"/>
      <c r="Y1" s="66"/>
    </row>
    <row r="2" spans="1:25" ht="22.5" customHeight="1" x14ac:dyDescent="0.3">
      <c r="A2" s="73" t="s">
        <v>1</v>
      </c>
      <c r="B2" s="73"/>
      <c r="C2" s="73"/>
      <c r="D2" s="73"/>
      <c r="E2" s="66"/>
      <c r="F2" s="105"/>
      <c r="G2" s="105"/>
      <c r="H2" s="66"/>
      <c r="I2" s="66"/>
      <c r="J2" s="66"/>
      <c r="K2" s="66"/>
      <c r="L2" s="66"/>
      <c r="M2" s="244"/>
      <c r="N2" s="66"/>
      <c r="O2" s="66"/>
      <c r="P2" s="66"/>
      <c r="Q2" s="66"/>
      <c r="R2" s="66"/>
      <c r="S2" s="66"/>
      <c r="T2" s="66"/>
      <c r="U2" s="66"/>
      <c r="V2" s="66"/>
      <c r="W2" s="66"/>
      <c r="X2" s="66"/>
      <c r="Y2" s="66"/>
    </row>
    <row r="3" spans="1:25" ht="22.5" customHeight="1" x14ac:dyDescent="0.3">
      <c r="A3" s="73" t="s">
        <v>325</v>
      </c>
      <c r="B3" s="73"/>
      <c r="C3" s="73"/>
      <c r="D3" s="73"/>
      <c r="E3" s="66"/>
      <c r="F3" s="105"/>
      <c r="G3" s="105"/>
      <c r="H3" s="66"/>
      <c r="I3" s="66"/>
      <c r="J3" s="66"/>
      <c r="K3" s="66"/>
      <c r="L3" s="66"/>
      <c r="M3" s="244"/>
      <c r="N3" s="66"/>
      <c r="O3" s="66"/>
      <c r="P3" s="66"/>
      <c r="Q3" s="66"/>
      <c r="R3" s="66"/>
      <c r="S3" s="66"/>
      <c r="T3" s="66"/>
      <c r="U3" s="66"/>
      <c r="V3" s="66"/>
      <c r="W3" s="66"/>
      <c r="X3" s="66"/>
      <c r="Y3" s="66"/>
    </row>
    <row r="4" spans="1:25" ht="22.5" customHeight="1" x14ac:dyDescent="0.3">
      <c r="A4" s="73"/>
      <c r="B4" s="73"/>
      <c r="C4" s="73"/>
      <c r="D4" s="73"/>
      <c r="E4" s="66"/>
      <c r="F4" s="105"/>
      <c r="G4" s="105"/>
      <c r="H4" s="66"/>
      <c r="I4" s="66"/>
      <c r="J4" s="66"/>
      <c r="K4" s="66"/>
      <c r="L4" s="66"/>
      <c r="M4" s="244"/>
      <c r="N4" s="66"/>
      <c r="O4" s="66"/>
      <c r="P4" s="66"/>
      <c r="Q4" s="66"/>
      <c r="R4" s="66"/>
      <c r="S4" s="66"/>
      <c r="T4" s="66"/>
      <c r="U4" s="66"/>
      <c r="V4" s="66"/>
      <c r="W4" s="66"/>
      <c r="X4" s="66"/>
      <c r="Y4" s="66"/>
    </row>
    <row r="5" spans="1:25" ht="22.5" customHeight="1" x14ac:dyDescent="0.3">
      <c r="A5" s="280" t="s">
        <v>2</v>
      </c>
      <c r="B5" s="281"/>
      <c r="C5" s="281"/>
      <c r="D5" s="281"/>
      <c r="E5" s="281"/>
      <c r="F5" s="281"/>
      <c r="G5" s="281"/>
      <c r="H5" s="281"/>
      <c r="I5" s="281"/>
      <c r="J5" s="281"/>
      <c r="K5" s="281"/>
      <c r="L5" s="282"/>
      <c r="M5" s="244"/>
      <c r="N5" s="66"/>
      <c r="O5" s="66"/>
      <c r="P5" s="66"/>
      <c r="Q5" s="66"/>
      <c r="R5" s="66"/>
      <c r="S5" s="66"/>
      <c r="T5" s="66"/>
      <c r="U5" s="66"/>
      <c r="V5" s="66"/>
      <c r="W5" s="66"/>
      <c r="X5" s="66"/>
      <c r="Y5" s="66"/>
    </row>
    <row r="6" spans="1:25" ht="45" customHeight="1" x14ac:dyDescent="0.3">
      <c r="A6" s="283"/>
      <c r="B6" s="284"/>
      <c r="C6" s="284"/>
      <c r="D6" s="284"/>
      <c r="E6" s="284"/>
      <c r="F6" s="284"/>
      <c r="G6" s="284"/>
      <c r="H6" s="284"/>
      <c r="I6" s="284"/>
      <c r="J6" s="284"/>
      <c r="K6" s="284"/>
      <c r="L6" s="285"/>
      <c r="M6" s="244"/>
      <c r="N6" s="66"/>
      <c r="O6" s="66"/>
      <c r="P6" s="66"/>
      <c r="Q6" s="66"/>
      <c r="R6" s="66"/>
      <c r="S6" s="66"/>
      <c r="T6" s="66"/>
      <c r="U6" s="66"/>
      <c r="V6" s="66"/>
      <c r="W6" s="66"/>
      <c r="X6" s="66"/>
      <c r="Y6" s="66"/>
    </row>
    <row r="7" spans="1:25" ht="22.5" customHeight="1" x14ac:dyDescent="0.3">
      <c r="A7" s="144"/>
      <c r="B7" s="73"/>
      <c r="C7" s="73"/>
      <c r="D7" s="73"/>
      <c r="E7" s="66"/>
      <c r="F7" s="105"/>
      <c r="G7" s="105"/>
      <c r="H7" s="66"/>
      <c r="I7" s="66"/>
      <c r="J7" s="66"/>
      <c r="K7" s="66"/>
      <c r="L7" s="66"/>
      <c r="M7" s="244"/>
      <c r="N7" s="66"/>
      <c r="O7" s="66"/>
      <c r="P7" s="66"/>
      <c r="Q7" s="66"/>
      <c r="R7" s="66"/>
      <c r="S7" s="66"/>
      <c r="T7" s="66"/>
      <c r="U7" s="66"/>
      <c r="V7" s="66"/>
      <c r="W7" s="66"/>
      <c r="X7" s="66"/>
      <c r="Y7" s="66"/>
    </row>
    <row r="8" spans="1:25" ht="7.35" customHeight="1" x14ac:dyDescent="0.3">
      <c r="A8" s="286" t="s">
        <v>3</v>
      </c>
      <c r="B8" s="286"/>
      <c r="C8" s="286"/>
      <c r="D8" s="286"/>
      <c r="E8" s="286"/>
      <c r="F8" s="286"/>
      <c r="G8" s="286"/>
      <c r="H8" s="286"/>
      <c r="I8" s="286"/>
      <c r="J8" s="286"/>
      <c r="K8" s="286"/>
      <c r="L8" s="286"/>
      <c r="M8" s="244"/>
      <c r="N8" s="66"/>
      <c r="O8" s="66"/>
      <c r="P8" s="66"/>
      <c r="Q8" s="66"/>
      <c r="R8" s="66"/>
      <c r="S8" s="66"/>
      <c r="T8" s="66"/>
      <c r="U8" s="66"/>
      <c r="V8" s="66"/>
      <c r="W8" s="66"/>
      <c r="X8" s="66"/>
      <c r="Y8" s="66"/>
    </row>
    <row r="9" spans="1:25" ht="15.75" customHeight="1" x14ac:dyDescent="0.3">
      <c r="A9" s="286"/>
      <c r="B9" s="286"/>
      <c r="C9" s="286"/>
      <c r="D9" s="286"/>
      <c r="E9" s="286"/>
      <c r="F9" s="286"/>
      <c r="G9" s="286"/>
      <c r="H9" s="286"/>
      <c r="I9" s="286"/>
      <c r="J9" s="286"/>
      <c r="K9" s="286"/>
      <c r="L9" s="286"/>
      <c r="M9" s="244"/>
      <c r="N9" s="66"/>
      <c r="O9" s="66"/>
      <c r="P9" s="66"/>
      <c r="Q9" s="66"/>
      <c r="R9" s="66"/>
      <c r="S9" s="66"/>
      <c r="T9" s="66"/>
      <c r="U9" s="66"/>
      <c r="V9" s="66"/>
      <c r="W9" s="66"/>
      <c r="X9" s="66"/>
      <c r="Y9" s="66"/>
    </row>
    <row r="10" spans="1:25" ht="10.5" customHeight="1" x14ac:dyDescent="0.3">
      <c r="A10" s="286"/>
      <c r="B10" s="286"/>
      <c r="C10" s="286"/>
      <c r="D10" s="286"/>
      <c r="E10" s="286"/>
      <c r="F10" s="286"/>
      <c r="G10" s="286"/>
      <c r="H10" s="286"/>
      <c r="I10" s="286"/>
      <c r="J10" s="286"/>
      <c r="K10" s="286"/>
      <c r="L10" s="286"/>
      <c r="M10" s="244"/>
      <c r="N10" s="66"/>
      <c r="O10" s="66"/>
      <c r="P10" s="66"/>
      <c r="Q10" s="66"/>
      <c r="R10" s="66"/>
      <c r="S10" s="66"/>
      <c r="T10" s="66"/>
      <c r="U10" s="66"/>
      <c r="V10" s="66"/>
      <c r="W10" s="66"/>
      <c r="X10" s="66"/>
      <c r="Y10" s="66"/>
    </row>
    <row r="11" spans="1:25" ht="22.5" customHeight="1" x14ac:dyDescent="0.3">
      <c r="A11" s="286"/>
      <c r="B11" s="286"/>
      <c r="C11" s="286"/>
      <c r="D11" s="286"/>
      <c r="E11" s="286"/>
      <c r="F11" s="286"/>
      <c r="G11" s="286"/>
      <c r="H11" s="286"/>
      <c r="I11" s="286"/>
      <c r="J11" s="286"/>
      <c r="K11" s="286"/>
      <c r="L11" s="286"/>
      <c r="M11" s="244"/>
      <c r="N11" s="66"/>
      <c r="O11" s="66"/>
      <c r="P11" s="66"/>
      <c r="Q11" s="66"/>
      <c r="R11" s="66"/>
      <c r="S11" s="66"/>
      <c r="T11" s="66"/>
      <c r="U11" s="66"/>
      <c r="V11" s="66"/>
      <c r="W11" s="66"/>
      <c r="X11" s="66"/>
      <c r="Y11" s="66"/>
    </row>
    <row r="12" spans="1:25" ht="22.5" customHeight="1" x14ac:dyDescent="0.3">
      <c r="A12" s="286"/>
      <c r="B12" s="286"/>
      <c r="C12" s="286"/>
      <c r="D12" s="286"/>
      <c r="E12" s="286"/>
      <c r="F12" s="286"/>
      <c r="G12" s="286"/>
      <c r="H12" s="286"/>
      <c r="I12" s="286"/>
      <c r="J12" s="286"/>
      <c r="K12" s="286"/>
      <c r="L12" s="286"/>
      <c r="M12" s="244"/>
      <c r="N12" s="66"/>
      <c r="O12" s="66"/>
      <c r="P12" s="66"/>
      <c r="Q12" s="66"/>
      <c r="R12" s="66"/>
      <c r="S12" s="66"/>
      <c r="T12" s="66"/>
      <c r="U12" s="66"/>
      <c r="V12" s="66"/>
      <c r="W12" s="66"/>
      <c r="X12" s="66"/>
      <c r="Y12" s="66"/>
    </row>
    <row r="13" spans="1:25" ht="22.5" customHeight="1" x14ac:dyDescent="0.3">
      <c r="A13" s="286"/>
      <c r="B13" s="286"/>
      <c r="C13" s="286"/>
      <c r="D13" s="286"/>
      <c r="E13" s="286"/>
      <c r="F13" s="286"/>
      <c r="G13" s="286"/>
      <c r="H13" s="286"/>
      <c r="I13" s="286"/>
      <c r="J13" s="286"/>
      <c r="K13" s="286"/>
      <c r="L13" s="286"/>
      <c r="M13" s="244"/>
      <c r="N13" s="66"/>
      <c r="O13" s="66"/>
      <c r="P13" s="66"/>
      <c r="Q13" s="66"/>
      <c r="R13" s="66"/>
      <c r="S13" s="66"/>
      <c r="T13" s="66"/>
      <c r="U13" s="66"/>
      <c r="V13" s="66"/>
      <c r="W13" s="66"/>
      <c r="X13" s="66"/>
      <c r="Y13" s="66"/>
    </row>
    <row r="14" spans="1:25" ht="27.75" customHeight="1" x14ac:dyDescent="0.3">
      <c r="A14" s="286"/>
      <c r="B14" s="286"/>
      <c r="C14" s="286"/>
      <c r="D14" s="286"/>
      <c r="E14" s="286"/>
      <c r="F14" s="286"/>
      <c r="G14" s="286"/>
      <c r="H14" s="286"/>
      <c r="I14" s="286"/>
      <c r="J14" s="286"/>
      <c r="K14" s="286"/>
      <c r="L14" s="286"/>
      <c r="M14" s="244"/>
      <c r="N14" s="66"/>
      <c r="O14" s="66"/>
      <c r="P14" s="66"/>
      <c r="Q14" s="66"/>
      <c r="R14" s="66"/>
      <c r="S14" s="66"/>
      <c r="T14" s="66"/>
      <c r="U14" s="66"/>
      <c r="V14" s="66"/>
      <c r="W14" s="66"/>
      <c r="X14" s="66"/>
      <c r="Y14" s="66"/>
    </row>
    <row r="15" spans="1:25" ht="17.850000000000001" customHeight="1" x14ac:dyDescent="0.3">
      <c r="A15" s="286"/>
      <c r="B15" s="286"/>
      <c r="C15" s="286"/>
      <c r="D15" s="286"/>
      <c r="E15" s="286"/>
      <c r="F15" s="286"/>
      <c r="G15" s="286"/>
      <c r="H15" s="286"/>
      <c r="I15" s="286"/>
      <c r="J15" s="286"/>
      <c r="K15" s="286"/>
      <c r="L15" s="286"/>
      <c r="M15" s="244"/>
      <c r="N15" s="66"/>
      <c r="O15" s="66"/>
      <c r="P15" s="66"/>
      <c r="Q15" s="66"/>
      <c r="R15" s="66"/>
      <c r="S15" s="66"/>
      <c r="T15" s="66"/>
      <c r="U15" s="66"/>
      <c r="V15" s="66"/>
      <c r="W15" s="66"/>
      <c r="X15" s="66"/>
      <c r="Y15" s="66"/>
    </row>
    <row r="16" spans="1:25" ht="20.399999999999999" customHeight="1" x14ac:dyDescent="0.3">
      <c r="A16" s="286"/>
      <c r="B16" s="286"/>
      <c r="C16" s="286"/>
      <c r="D16" s="286"/>
      <c r="E16" s="286"/>
      <c r="F16" s="286"/>
      <c r="G16" s="286"/>
      <c r="H16" s="286"/>
      <c r="I16" s="286"/>
      <c r="J16" s="286"/>
      <c r="K16" s="286"/>
      <c r="L16" s="286"/>
      <c r="M16" s="244"/>
      <c r="N16" s="159"/>
      <c r="O16" s="66"/>
      <c r="P16" s="66"/>
      <c r="Q16" s="66"/>
      <c r="R16" s="66"/>
      <c r="S16" s="66"/>
      <c r="T16" s="66"/>
      <c r="U16" s="66"/>
      <c r="V16" s="66"/>
      <c r="W16" s="66"/>
      <c r="X16" s="66"/>
      <c r="Y16" s="66"/>
    </row>
    <row r="17" spans="1:25" ht="22.5" customHeight="1" x14ac:dyDescent="0.3">
      <c r="A17" s="97"/>
      <c r="B17" s="97"/>
      <c r="C17" s="97"/>
      <c r="D17" s="97"/>
      <c r="E17" s="97"/>
      <c r="F17" s="97"/>
      <c r="G17" s="267"/>
      <c r="H17" s="97"/>
      <c r="I17" s="97"/>
      <c r="J17" s="97"/>
      <c r="K17" s="97"/>
      <c r="L17" s="97"/>
      <c r="M17" s="244"/>
      <c r="N17" s="66"/>
      <c r="O17" s="66"/>
      <c r="P17" s="66"/>
      <c r="Q17" s="66"/>
      <c r="R17" s="66"/>
      <c r="S17" s="66"/>
      <c r="T17" s="66"/>
      <c r="U17" s="66"/>
      <c r="V17" s="66"/>
      <c r="W17" s="66"/>
      <c r="X17" s="66"/>
      <c r="Y17" s="66"/>
    </row>
    <row r="18" spans="1:25" ht="22.5" customHeight="1" x14ac:dyDescent="0.3">
      <c r="A18" s="230" t="s">
        <v>4</v>
      </c>
      <c r="B18" s="97"/>
      <c r="C18" s="228"/>
      <c r="D18" s="228"/>
      <c r="E18" s="228"/>
      <c r="F18" s="228"/>
      <c r="G18" s="268"/>
      <c r="H18" s="228"/>
      <c r="I18" s="228"/>
      <c r="J18" s="228"/>
      <c r="K18" s="228"/>
      <c r="L18" s="228"/>
      <c r="M18" s="244"/>
      <c r="N18" s="66"/>
      <c r="O18" s="66"/>
      <c r="P18" s="66"/>
      <c r="Q18" s="66"/>
      <c r="R18" s="66"/>
      <c r="S18" s="66"/>
      <c r="T18" s="66"/>
      <c r="U18" s="66"/>
      <c r="V18" s="66"/>
      <c r="W18" s="66"/>
      <c r="X18" s="66"/>
      <c r="Y18" s="66"/>
    </row>
    <row r="19" spans="1:25" ht="41.1" customHeight="1" x14ac:dyDescent="0.3">
      <c r="A19" s="231" t="s">
        <v>5</v>
      </c>
      <c r="B19" s="97"/>
      <c r="C19" s="97"/>
      <c r="D19" s="97"/>
      <c r="E19" s="97"/>
      <c r="F19" s="97"/>
      <c r="G19" s="97"/>
      <c r="H19" s="97"/>
      <c r="I19" s="97"/>
      <c r="J19" s="97"/>
      <c r="K19" s="97"/>
      <c r="L19" s="97"/>
      <c r="M19" s="244"/>
      <c r="N19" s="66"/>
      <c r="O19" s="160"/>
      <c r="P19" s="160"/>
      <c r="Q19" s="66"/>
      <c r="R19" s="66"/>
      <c r="S19" s="66"/>
      <c r="T19" s="66"/>
      <c r="U19" s="66"/>
      <c r="V19" s="66"/>
      <c r="W19" s="66"/>
      <c r="X19" s="66"/>
      <c r="Y19" s="66"/>
    </row>
    <row r="20" spans="1:25" s="20" customFormat="1" ht="81" customHeight="1" x14ac:dyDescent="0.3">
      <c r="A20" s="19" t="s">
        <v>6</v>
      </c>
      <c r="B20" s="19" t="s">
        <v>7</v>
      </c>
      <c r="C20" s="19" t="s">
        <v>8</v>
      </c>
      <c r="D20" s="19" t="s">
        <v>9</v>
      </c>
      <c r="E20" s="19" t="s">
        <v>10</v>
      </c>
      <c r="F20" s="54" t="s">
        <v>11</v>
      </c>
      <c r="G20" s="19" t="s">
        <v>12</v>
      </c>
      <c r="H20" s="19" t="s">
        <v>13</v>
      </c>
      <c r="I20" s="19" t="s">
        <v>14</v>
      </c>
      <c r="J20" s="19" t="s">
        <v>15</v>
      </c>
      <c r="K20" s="19" t="s">
        <v>16</v>
      </c>
      <c r="L20" s="19" t="s">
        <v>17</v>
      </c>
      <c r="M20" s="245"/>
      <c r="N20" s="161"/>
      <c r="O20" s="161"/>
      <c r="P20" s="161"/>
      <c r="Q20" s="145"/>
      <c r="R20" s="145"/>
      <c r="S20" s="145"/>
      <c r="T20" s="145"/>
      <c r="U20" s="145"/>
      <c r="V20" s="145"/>
      <c r="W20" s="145"/>
      <c r="X20" s="145"/>
      <c r="Y20" s="145"/>
    </row>
    <row r="21" spans="1:25" ht="20.100000000000001" customHeight="1" x14ac:dyDescent="0.3">
      <c r="A21" s="16" t="s">
        <v>18</v>
      </c>
      <c r="B21" s="64"/>
      <c r="C21" s="64"/>
      <c r="D21" s="64"/>
      <c r="E21" s="64"/>
      <c r="F21" s="199"/>
      <c r="G21" s="212"/>
      <c r="H21" s="17"/>
      <c r="I21" s="17"/>
      <c r="J21" s="17"/>
      <c r="K21" s="17"/>
      <c r="L21" s="18"/>
      <c r="M21" s="244"/>
      <c r="N21" s="233"/>
      <c r="O21" s="193"/>
      <c r="P21" s="193"/>
      <c r="Q21" s="66"/>
      <c r="R21" s="66"/>
      <c r="S21" s="66"/>
      <c r="T21" s="66"/>
      <c r="U21" s="66"/>
      <c r="V21" s="66"/>
      <c r="W21" s="66"/>
      <c r="X21" s="66"/>
      <c r="Y21" s="66"/>
    </row>
    <row r="22" spans="1:25" ht="15" customHeight="1" x14ac:dyDescent="0.3">
      <c r="A22" s="1" t="s">
        <v>19</v>
      </c>
      <c r="B22" s="200">
        <v>94293.61</v>
      </c>
      <c r="C22" s="200">
        <v>227183.28</v>
      </c>
      <c r="D22" s="200">
        <v>227183.28</v>
      </c>
      <c r="E22" s="201">
        <v>226498.84</v>
      </c>
      <c r="F22" s="86">
        <v>0.41630946101092614</v>
      </c>
      <c r="G22" s="269">
        <v>29836035</v>
      </c>
      <c r="H22" s="215">
        <v>19393422.75</v>
      </c>
      <c r="I22" s="215">
        <v>10442612.249999998</v>
      </c>
      <c r="J22" s="215">
        <v>73384744</v>
      </c>
      <c r="K22" s="215">
        <v>73197858</v>
      </c>
      <c r="L22" s="87">
        <v>0.4076080341039488</v>
      </c>
      <c r="N22" s="162"/>
      <c r="O22" s="66"/>
      <c r="P22" s="66"/>
      <c r="Q22" s="66"/>
      <c r="R22" s="66"/>
      <c r="S22" s="66"/>
      <c r="T22" s="66"/>
      <c r="U22" s="66"/>
      <c r="V22" s="66"/>
      <c r="W22" s="66"/>
      <c r="X22" s="66"/>
      <c r="Y22" s="66"/>
    </row>
    <row r="23" spans="1:25" ht="15" customHeight="1" x14ac:dyDescent="0.3">
      <c r="A23" s="191" t="s">
        <v>20</v>
      </c>
      <c r="B23" s="200">
        <v>91633.73000000001</v>
      </c>
      <c r="C23" s="200">
        <v>210483.28</v>
      </c>
      <c r="D23" s="200">
        <v>210483.28</v>
      </c>
      <c r="E23" s="201">
        <v>210482.96</v>
      </c>
      <c r="F23" s="86">
        <v>0.43534987345293896</v>
      </c>
      <c r="G23" s="269">
        <v>27589905</v>
      </c>
      <c r="H23" s="215">
        <v>17933438.25</v>
      </c>
      <c r="I23" s="215">
        <v>9656466.75</v>
      </c>
      <c r="J23" s="215">
        <v>63777220</v>
      </c>
      <c r="K23" s="215">
        <v>63766824</v>
      </c>
      <c r="L23" s="87">
        <v>0.4326686397302773</v>
      </c>
      <c r="M23" s="245"/>
      <c r="N23" s="163"/>
      <c r="O23" s="66"/>
      <c r="P23" s="66"/>
      <c r="Q23" s="66"/>
      <c r="R23" s="66"/>
      <c r="S23" s="66"/>
      <c r="T23" s="66"/>
      <c r="U23" s="66"/>
      <c r="V23" s="66"/>
      <c r="W23" s="66"/>
      <c r="X23" s="66"/>
      <c r="Y23" s="66"/>
    </row>
    <row r="24" spans="1:25" ht="15" customHeight="1" x14ac:dyDescent="0.3">
      <c r="A24" s="191" t="s">
        <v>21</v>
      </c>
      <c r="B24" s="200">
        <v>2659.88</v>
      </c>
      <c r="C24" s="200">
        <v>16700</v>
      </c>
      <c r="D24" s="200">
        <v>16700</v>
      </c>
      <c r="E24" s="201">
        <v>16015.880000000001</v>
      </c>
      <c r="F24" s="86">
        <v>0.16607766791459477</v>
      </c>
      <c r="G24" s="269">
        <v>2246130</v>
      </c>
      <c r="H24" s="215">
        <v>1459984.5</v>
      </c>
      <c r="I24" s="215">
        <v>786145.5</v>
      </c>
      <c r="J24" s="215">
        <v>9607524</v>
      </c>
      <c r="K24" s="215">
        <v>9431034</v>
      </c>
      <c r="L24" s="87">
        <v>0.23816370506139622</v>
      </c>
      <c r="M24" s="245"/>
      <c r="N24" s="233"/>
      <c r="O24" s="193"/>
      <c r="P24" s="193"/>
      <c r="Q24" s="66"/>
      <c r="R24" s="66"/>
      <c r="S24" s="66"/>
      <c r="T24" s="66"/>
      <c r="U24" s="66"/>
      <c r="V24" s="66"/>
      <c r="W24" s="66"/>
      <c r="X24" s="66"/>
      <c r="Y24" s="66"/>
    </row>
    <row r="25" spans="1:25" ht="15" hidden="1" customHeight="1" x14ac:dyDescent="0.3">
      <c r="A25" s="191" t="s">
        <v>22</v>
      </c>
      <c r="B25" s="200">
        <v>0</v>
      </c>
      <c r="C25" s="200">
        <v>0</v>
      </c>
      <c r="D25" s="200">
        <v>0</v>
      </c>
      <c r="E25" s="201">
        <v>0</v>
      </c>
      <c r="F25" s="86" t="s">
        <v>33</v>
      </c>
      <c r="G25" s="269" t="e">
        <v>#N/A</v>
      </c>
      <c r="H25" s="215">
        <v>0</v>
      </c>
      <c r="I25" s="215">
        <v>0</v>
      </c>
      <c r="J25" s="215" t="e">
        <v>#N/A</v>
      </c>
      <c r="K25" s="215">
        <v>0</v>
      </c>
      <c r="L25" s="87" t="s">
        <v>33</v>
      </c>
      <c r="M25" s="245"/>
      <c r="N25" s="162"/>
      <c r="O25" s="66"/>
      <c r="P25" s="66"/>
      <c r="Q25" s="66"/>
      <c r="R25" s="66"/>
      <c r="S25" s="66"/>
      <c r="T25" s="66"/>
      <c r="U25" s="66"/>
      <c r="V25" s="66"/>
      <c r="W25" s="66"/>
      <c r="X25" s="66"/>
      <c r="Y25" s="66"/>
    </row>
    <row r="26" spans="1:25" ht="15" customHeight="1" x14ac:dyDescent="0.3">
      <c r="A26" s="1" t="s">
        <v>23</v>
      </c>
      <c r="B26" s="200">
        <v>73018.599999999991</v>
      </c>
      <c r="C26" s="200">
        <v>248979.42804199998</v>
      </c>
      <c r="D26" s="200">
        <v>248979.42804199998</v>
      </c>
      <c r="E26" s="201">
        <v>236122.62999999998</v>
      </c>
      <c r="F26" s="86">
        <v>0.30924016050473435</v>
      </c>
      <c r="G26" s="269">
        <v>23779014</v>
      </c>
      <c r="H26" s="215">
        <v>15456359.100000001</v>
      </c>
      <c r="I26" s="215">
        <v>8322654.8999999994</v>
      </c>
      <c r="J26" s="215">
        <v>88430034</v>
      </c>
      <c r="K26" s="215">
        <v>82352364</v>
      </c>
      <c r="L26" s="87">
        <v>0.28874719370533186</v>
      </c>
      <c r="M26" s="245"/>
      <c r="N26" s="163"/>
      <c r="O26" s="66"/>
      <c r="P26" s="66"/>
      <c r="Q26" s="66"/>
      <c r="R26" s="66"/>
      <c r="S26" s="66"/>
      <c r="T26" s="66"/>
      <c r="U26" s="66"/>
      <c r="V26" s="66"/>
      <c r="W26" s="66"/>
      <c r="X26" s="66"/>
      <c r="Y26" s="66"/>
    </row>
    <row r="27" spans="1:25" ht="15" customHeight="1" x14ac:dyDescent="0.3">
      <c r="A27" s="1" t="s">
        <v>24</v>
      </c>
      <c r="B27" s="200">
        <v>66192</v>
      </c>
      <c r="C27" s="200">
        <v>109097</v>
      </c>
      <c r="D27" s="200">
        <v>109097</v>
      </c>
      <c r="E27" s="201">
        <v>156688</v>
      </c>
      <c r="F27" s="86">
        <v>0.42244460328806288</v>
      </c>
      <c r="G27" s="269">
        <v>9714087</v>
      </c>
      <c r="H27" s="215">
        <v>6314156.5500000007</v>
      </c>
      <c r="I27" s="215">
        <v>3399930.4499999997</v>
      </c>
      <c r="J27" s="215">
        <v>15307867</v>
      </c>
      <c r="K27" s="215">
        <v>23208019</v>
      </c>
      <c r="L27" s="87">
        <v>0.4185659706672939</v>
      </c>
      <c r="M27" s="245"/>
      <c r="N27" s="233"/>
      <c r="O27" s="193"/>
      <c r="P27" s="193"/>
      <c r="Q27" s="66"/>
      <c r="R27" s="66"/>
      <c r="S27" s="66"/>
      <c r="T27" s="66"/>
      <c r="U27" s="66"/>
      <c r="V27" s="66"/>
      <c r="W27" s="66"/>
      <c r="X27" s="66"/>
      <c r="Y27" s="66"/>
    </row>
    <row r="28" spans="1:25" ht="15" customHeight="1" x14ac:dyDescent="0.3">
      <c r="A28" s="1" t="s">
        <v>25</v>
      </c>
      <c r="B28" s="200">
        <v>1787.32</v>
      </c>
      <c r="C28" s="200">
        <v>6037</v>
      </c>
      <c r="D28" s="200">
        <v>6037</v>
      </c>
      <c r="E28" s="200">
        <v>6038.32</v>
      </c>
      <c r="F28" s="86">
        <v>0.29599623736403502</v>
      </c>
      <c r="G28" s="270">
        <v>1133074</v>
      </c>
      <c r="H28" s="215">
        <v>736498.10000000009</v>
      </c>
      <c r="I28" s="215">
        <v>396575.89999999991</v>
      </c>
      <c r="J28" s="215">
        <v>3231401</v>
      </c>
      <c r="K28" s="215">
        <v>3350807</v>
      </c>
      <c r="L28" s="87">
        <v>0.33814958605494139</v>
      </c>
      <c r="M28" s="245"/>
      <c r="N28" s="162"/>
      <c r="O28" s="66"/>
      <c r="P28" s="66"/>
      <c r="Q28" s="66"/>
      <c r="R28" s="66"/>
      <c r="S28" s="66"/>
      <c r="T28" s="66"/>
      <c r="U28" s="66"/>
      <c r="V28" s="66"/>
      <c r="W28" s="66"/>
      <c r="X28" s="66"/>
      <c r="Y28" s="66"/>
    </row>
    <row r="29" spans="1:25" ht="15" customHeight="1" x14ac:dyDescent="0.3">
      <c r="A29" s="1" t="s">
        <v>26</v>
      </c>
      <c r="B29" s="200">
        <v>16198.3</v>
      </c>
      <c r="C29" s="200">
        <v>52245</v>
      </c>
      <c r="D29" s="200">
        <v>52245</v>
      </c>
      <c r="E29" s="200">
        <v>52245.3</v>
      </c>
      <c r="F29" s="86">
        <v>0.31004320005818703</v>
      </c>
      <c r="G29" s="270">
        <v>3846661</v>
      </c>
      <c r="H29" s="215">
        <v>2500329.65</v>
      </c>
      <c r="I29" s="215">
        <v>1346331.35</v>
      </c>
      <c r="J29" s="215">
        <v>17115684</v>
      </c>
      <c r="K29" s="215">
        <v>16317289</v>
      </c>
      <c r="L29" s="87">
        <v>0.23574142739029749</v>
      </c>
      <c r="M29" s="245"/>
      <c r="N29" s="163"/>
      <c r="O29" s="66"/>
      <c r="P29" s="66"/>
      <c r="Q29" s="66"/>
      <c r="R29" s="66"/>
      <c r="S29" s="66"/>
      <c r="T29" s="66"/>
      <c r="U29" s="66"/>
      <c r="V29" s="66"/>
      <c r="W29" s="66"/>
      <c r="X29" s="66"/>
      <c r="Y29" s="66"/>
    </row>
    <row r="30" spans="1:25" ht="15" customHeight="1" x14ac:dyDescent="0.3">
      <c r="A30" s="1" t="s">
        <v>27</v>
      </c>
      <c r="B30" s="200">
        <v>12219.810000000001</v>
      </c>
      <c r="C30" s="200">
        <v>49713</v>
      </c>
      <c r="D30" s="200">
        <v>49713</v>
      </c>
      <c r="E30" s="200">
        <v>48005.81</v>
      </c>
      <c r="F30" s="86">
        <v>0.25454856401756376</v>
      </c>
      <c r="G30" s="270">
        <v>4601814</v>
      </c>
      <c r="H30" s="215">
        <v>2991179.1</v>
      </c>
      <c r="I30" s="215">
        <v>1610634.9</v>
      </c>
      <c r="J30" s="215">
        <v>17356099</v>
      </c>
      <c r="K30" s="215">
        <v>16924427</v>
      </c>
      <c r="L30" s="87">
        <v>0.27190368099315859</v>
      </c>
      <c r="M30" s="245"/>
      <c r="N30" s="233"/>
      <c r="O30" s="193"/>
      <c r="P30" s="193"/>
      <c r="Q30" s="66"/>
      <c r="R30" s="66"/>
      <c r="S30" s="66"/>
      <c r="T30" s="66"/>
      <c r="U30" s="66"/>
      <c r="V30" s="66"/>
      <c r="W30" s="66"/>
      <c r="X30" s="66"/>
      <c r="Y30" s="66"/>
    </row>
    <row r="31" spans="1:25" ht="15" customHeight="1" x14ac:dyDescent="0.3">
      <c r="A31" s="1" t="s">
        <v>28</v>
      </c>
      <c r="B31" s="200">
        <v>5388.2000000000007</v>
      </c>
      <c r="C31" s="200">
        <v>45412</v>
      </c>
      <c r="D31" s="200">
        <v>45412</v>
      </c>
      <c r="E31" s="200">
        <v>45413.439999999995</v>
      </c>
      <c r="F31" s="86">
        <v>0.1186476954839801</v>
      </c>
      <c r="G31" s="270">
        <v>3877686</v>
      </c>
      <c r="H31" s="215">
        <v>0</v>
      </c>
      <c r="I31" s="215">
        <v>3877686</v>
      </c>
      <c r="J31" s="215">
        <v>9827383</v>
      </c>
      <c r="K31" s="215">
        <v>9868031</v>
      </c>
      <c r="L31" s="87">
        <v>0.39295437965284058</v>
      </c>
      <c r="M31" s="245"/>
      <c r="N31" s="162"/>
      <c r="O31" s="66"/>
      <c r="P31" s="66"/>
      <c r="Q31" s="66"/>
      <c r="R31" s="66"/>
      <c r="S31" s="66"/>
      <c r="T31" s="66"/>
      <c r="U31" s="66"/>
      <c r="V31" s="66"/>
      <c r="W31" s="66"/>
      <c r="X31" s="66"/>
      <c r="Y31" s="66"/>
    </row>
    <row r="32" spans="1:25" ht="15" customHeight="1" x14ac:dyDescent="0.3">
      <c r="A32" s="1" t="s">
        <v>29</v>
      </c>
      <c r="B32" s="200" t="s">
        <v>33</v>
      </c>
      <c r="C32" s="200" t="s">
        <v>33</v>
      </c>
      <c r="D32" s="200" t="s">
        <v>33</v>
      </c>
      <c r="E32" s="200" t="s">
        <v>33</v>
      </c>
      <c r="F32" s="200" t="s">
        <v>33</v>
      </c>
      <c r="G32" s="270">
        <v>412158</v>
      </c>
      <c r="H32" s="215">
        <v>267902.7</v>
      </c>
      <c r="I32" s="215">
        <v>144255.29999999999</v>
      </c>
      <c r="J32" s="215">
        <v>1700000</v>
      </c>
      <c r="K32" s="215">
        <v>1423597</v>
      </c>
      <c r="L32" s="87">
        <v>0.2895187331808089</v>
      </c>
      <c r="M32" s="245"/>
      <c r="N32" s="163"/>
      <c r="O32" s="66"/>
      <c r="P32" s="66"/>
      <c r="Q32" s="66"/>
      <c r="R32" s="66"/>
      <c r="S32" s="66"/>
      <c r="T32" s="66"/>
      <c r="U32" s="66"/>
      <c r="V32" s="66"/>
      <c r="W32" s="66"/>
      <c r="X32" s="66"/>
      <c r="Y32" s="66"/>
    </row>
    <row r="33" spans="1:25" ht="15" customHeight="1" x14ac:dyDescent="0.3">
      <c r="A33" s="1" t="s">
        <v>30</v>
      </c>
      <c r="B33" s="200">
        <v>624.16999999999996</v>
      </c>
      <c r="C33" s="200">
        <v>1509</v>
      </c>
      <c r="D33" s="200">
        <v>1509</v>
      </c>
      <c r="E33" s="200">
        <v>1492.67</v>
      </c>
      <c r="F33" s="86">
        <v>0.41815672586707037</v>
      </c>
      <c r="G33" s="270">
        <v>236326</v>
      </c>
      <c r="H33" s="215">
        <v>0</v>
      </c>
      <c r="I33" s="215">
        <v>236326</v>
      </c>
      <c r="J33" s="215">
        <v>481032</v>
      </c>
      <c r="K33" s="215">
        <v>489912</v>
      </c>
      <c r="L33" s="87">
        <v>0.48238459151847679</v>
      </c>
      <c r="M33" s="245"/>
      <c r="N33" s="233"/>
      <c r="O33" s="193"/>
      <c r="P33" s="193"/>
      <c r="Q33" s="66"/>
      <c r="R33" s="66"/>
      <c r="S33" s="66"/>
      <c r="T33" s="66"/>
      <c r="U33" s="66"/>
      <c r="V33" s="66"/>
      <c r="W33" s="66"/>
      <c r="X33" s="66"/>
      <c r="Y33" s="66"/>
    </row>
    <row r="34" spans="1:25" ht="15" customHeight="1" x14ac:dyDescent="0.3">
      <c r="A34" s="1" t="s">
        <v>31</v>
      </c>
      <c r="B34" s="200">
        <v>7973</v>
      </c>
      <c r="C34" s="200">
        <v>16700</v>
      </c>
      <c r="D34" s="200">
        <v>16700</v>
      </c>
      <c r="E34" s="200">
        <v>26481</v>
      </c>
      <c r="F34" s="200">
        <v>0.30108379592915674</v>
      </c>
      <c r="G34" s="270" t="s">
        <v>33</v>
      </c>
      <c r="H34" s="200" t="s">
        <v>33</v>
      </c>
      <c r="I34" s="200" t="s">
        <v>33</v>
      </c>
      <c r="J34" s="200" t="s">
        <v>33</v>
      </c>
      <c r="K34" s="200" t="s">
        <v>33</v>
      </c>
      <c r="L34" s="200" t="s">
        <v>33</v>
      </c>
      <c r="M34" s="245"/>
      <c r="N34" s="162"/>
      <c r="O34" s="66"/>
      <c r="P34" s="66"/>
      <c r="Q34" s="66"/>
      <c r="R34" s="66"/>
      <c r="S34" s="66"/>
      <c r="T34" s="66"/>
      <c r="U34" s="66"/>
      <c r="V34" s="66"/>
      <c r="W34" s="66"/>
      <c r="X34" s="66"/>
      <c r="Y34" s="66"/>
    </row>
    <row r="35" spans="1:25" ht="15" customHeight="1" x14ac:dyDescent="0.3">
      <c r="A35" s="1" t="s">
        <v>32</v>
      </c>
      <c r="B35" s="84" t="s">
        <v>33</v>
      </c>
      <c r="C35" s="84" t="s">
        <v>33</v>
      </c>
      <c r="D35" s="84" t="s">
        <v>33</v>
      </c>
      <c r="E35" s="84" t="s">
        <v>33</v>
      </c>
      <c r="F35" s="86" t="s">
        <v>33</v>
      </c>
      <c r="G35" s="270">
        <v>3683491</v>
      </c>
      <c r="H35" s="215">
        <v>0</v>
      </c>
      <c r="I35" s="215">
        <v>3683491</v>
      </c>
      <c r="J35" s="215">
        <v>8036241</v>
      </c>
      <c r="K35" s="215">
        <v>7836241</v>
      </c>
      <c r="L35" s="87">
        <v>0.47005841193500814</v>
      </c>
      <c r="M35" s="245"/>
      <c r="N35" s="163"/>
      <c r="O35" s="66"/>
      <c r="P35" s="66"/>
      <c r="Q35" s="66"/>
      <c r="R35" s="66"/>
      <c r="S35" s="66"/>
      <c r="T35" s="66"/>
      <c r="U35" s="66"/>
      <c r="V35" s="66"/>
      <c r="W35" s="66"/>
      <c r="X35" s="66"/>
      <c r="Y35" s="66"/>
    </row>
    <row r="36" spans="1:25" ht="14.4" x14ac:dyDescent="0.3">
      <c r="A36" s="1" t="s">
        <v>34</v>
      </c>
      <c r="B36" s="84" t="s">
        <v>33</v>
      </c>
      <c r="C36" s="84" t="s">
        <v>33</v>
      </c>
      <c r="D36" s="84" t="s">
        <v>33</v>
      </c>
      <c r="E36" s="84" t="s">
        <v>33</v>
      </c>
      <c r="F36" s="86" t="s">
        <v>33</v>
      </c>
      <c r="G36" s="270">
        <v>29824</v>
      </c>
      <c r="H36" s="215">
        <v>0</v>
      </c>
      <c r="I36" s="215">
        <v>29824</v>
      </c>
      <c r="J36" s="215">
        <v>50000</v>
      </c>
      <c r="K36" s="215">
        <v>49741</v>
      </c>
      <c r="L36" s="87">
        <v>0.59958585472748838</v>
      </c>
      <c r="M36" s="245"/>
      <c r="N36" s="233"/>
      <c r="O36" s="193"/>
      <c r="P36" s="193"/>
      <c r="Q36" s="66"/>
      <c r="R36" s="66"/>
      <c r="S36" s="66"/>
      <c r="T36" s="66"/>
      <c r="U36" s="66"/>
      <c r="V36" s="66"/>
      <c r="W36" s="66"/>
      <c r="X36" s="66"/>
      <c r="Y36" s="66"/>
    </row>
    <row r="37" spans="1:25" ht="20.100000000000001" customHeight="1" x14ac:dyDescent="0.3">
      <c r="A37" s="2" t="s">
        <v>35</v>
      </c>
      <c r="B37" s="202">
        <v>277695.01</v>
      </c>
      <c r="C37" s="202">
        <v>756875.70804199995</v>
      </c>
      <c r="D37" s="202">
        <v>756875.70804199995</v>
      </c>
      <c r="E37" s="202">
        <v>798986.00999999989</v>
      </c>
      <c r="F37" s="85">
        <v>0.34755928955501991</v>
      </c>
      <c r="G37" s="271">
        <v>81150170</v>
      </c>
      <c r="H37" s="216">
        <v>47659847.95000001</v>
      </c>
      <c r="I37" s="216">
        <v>33490322.049999997</v>
      </c>
      <c r="J37" s="216">
        <v>234920485</v>
      </c>
      <c r="K37" s="216">
        <v>235018286</v>
      </c>
      <c r="L37" s="190">
        <v>0.34529300413670788</v>
      </c>
      <c r="M37" s="245"/>
      <c r="N37" s="162"/>
      <c r="O37" s="66"/>
      <c r="P37" s="66"/>
      <c r="Q37" s="66"/>
      <c r="R37" s="66"/>
      <c r="S37" s="66"/>
      <c r="T37" s="66"/>
      <c r="U37" s="66"/>
      <c r="V37" s="66"/>
      <c r="W37" s="66"/>
      <c r="X37" s="66"/>
      <c r="Y37" s="66"/>
    </row>
    <row r="38" spans="1:25" ht="20.100000000000001" customHeight="1" x14ac:dyDescent="0.3">
      <c r="A38" s="196" t="s">
        <v>36</v>
      </c>
      <c r="B38" s="207"/>
      <c r="C38" s="207"/>
      <c r="D38" s="207"/>
      <c r="E38" s="207"/>
      <c r="F38" s="207"/>
      <c r="G38" s="207"/>
      <c r="H38" s="197"/>
      <c r="I38" s="197"/>
      <c r="J38" s="197"/>
      <c r="K38" s="197"/>
      <c r="L38" s="198"/>
      <c r="M38" s="245"/>
      <c r="N38" s="163"/>
      <c r="O38" s="66"/>
      <c r="P38" s="66"/>
      <c r="Q38" s="66"/>
      <c r="R38" s="66"/>
      <c r="S38" s="66"/>
      <c r="T38" s="66"/>
      <c r="U38" s="66"/>
      <c r="V38" s="66"/>
      <c r="W38" s="66"/>
      <c r="X38" s="66"/>
      <c r="Y38" s="66"/>
    </row>
    <row r="39" spans="1:25" ht="14.4" x14ac:dyDescent="0.3">
      <c r="A39" s="1" t="s">
        <v>37</v>
      </c>
      <c r="B39" s="84">
        <v>84229.36</v>
      </c>
      <c r="C39" s="84">
        <v>189724</v>
      </c>
      <c r="D39" s="203">
        <v>189724</v>
      </c>
      <c r="E39" s="203">
        <v>189154.21</v>
      </c>
      <c r="F39" s="86">
        <v>0.445294661958621</v>
      </c>
      <c r="G39" s="270">
        <v>25617369</v>
      </c>
      <c r="H39" s="215">
        <v>16651289.850000001</v>
      </c>
      <c r="I39" s="215">
        <v>8966079.1499999985</v>
      </c>
      <c r="J39" s="215">
        <v>59524123</v>
      </c>
      <c r="K39" s="215">
        <v>59427267</v>
      </c>
      <c r="L39" s="87">
        <v>0.43107095939646695</v>
      </c>
      <c r="M39" s="245"/>
      <c r="N39" s="163"/>
      <c r="O39" s="66"/>
      <c r="P39" s="66"/>
      <c r="Q39" s="66"/>
      <c r="R39" s="66"/>
      <c r="S39" s="66"/>
      <c r="T39" s="66"/>
      <c r="U39" s="66"/>
      <c r="V39" s="66"/>
      <c r="W39" s="66"/>
      <c r="X39" s="66"/>
      <c r="Y39" s="66"/>
    </row>
    <row r="40" spans="1:25" ht="14.4" x14ac:dyDescent="0.3">
      <c r="A40" s="191" t="s">
        <v>38</v>
      </c>
      <c r="B40" s="262">
        <v>82279.83</v>
      </c>
      <c r="C40" s="251">
        <v>175024</v>
      </c>
      <c r="D40" s="203">
        <v>175024</v>
      </c>
      <c r="E40" s="264">
        <v>175023.68</v>
      </c>
      <c r="F40" s="87">
        <v>0.47010684497092053</v>
      </c>
      <c r="G40" s="272">
        <v>23847807</v>
      </c>
      <c r="H40" s="215">
        <v>15501074.550000001</v>
      </c>
      <c r="I40" s="215">
        <v>8346732.4499999993</v>
      </c>
      <c r="J40" s="260">
        <v>51248795</v>
      </c>
      <c r="K40" s="260">
        <v>51233157</v>
      </c>
      <c r="L40" s="87">
        <v>0.46547603927667391</v>
      </c>
      <c r="M40" s="245"/>
      <c r="N40" s="233"/>
      <c r="O40" s="193"/>
      <c r="P40" s="193"/>
      <c r="Q40" s="66"/>
      <c r="R40" s="66"/>
      <c r="S40" s="66"/>
      <c r="T40" s="66"/>
      <c r="U40" s="66"/>
      <c r="V40" s="66"/>
      <c r="W40" s="66"/>
      <c r="X40" s="66"/>
      <c r="Y40" s="66"/>
    </row>
    <row r="41" spans="1:25" ht="14.4" x14ac:dyDescent="0.3">
      <c r="A41" s="191" t="s">
        <v>39</v>
      </c>
      <c r="B41" s="262">
        <v>1949.53</v>
      </c>
      <c r="C41" s="251">
        <v>14700</v>
      </c>
      <c r="D41" s="203">
        <v>14700</v>
      </c>
      <c r="E41" s="264">
        <v>14130.53</v>
      </c>
      <c r="F41" s="87">
        <v>0.13796580878424233</v>
      </c>
      <c r="G41" s="272">
        <v>1769562</v>
      </c>
      <c r="H41" s="215">
        <v>1150215.3</v>
      </c>
      <c r="I41" s="215">
        <v>619346.69999999995</v>
      </c>
      <c r="J41" s="260">
        <v>8275328</v>
      </c>
      <c r="K41" s="260">
        <v>8194110</v>
      </c>
      <c r="L41" s="87">
        <v>0.2159553630595635</v>
      </c>
      <c r="M41" s="245"/>
      <c r="N41" s="162"/>
      <c r="O41" s="66"/>
      <c r="P41" s="66"/>
      <c r="Q41" s="66"/>
      <c r="R41" s="66"/>
      <c r="S41" s="66"/>
      <c r="T41" s="66"/>
      <c r="U41" s="66"/>
      <c r="V41" s="66"/>
      <c r="W41" s="66"/>
      <c r="X41" s="66"/>
      <c r="Y41" s="66"/>
    </row>
    <row r="42" spans="1:25" ht="14.4" hidden="1" x14ac:dyDescent="0.3">
      <c r="A42" s="191" t="s">
        <v>22</v>
      </c>
      <c r="B42" s="262"/>
      <c r="C42" s="252"/>
      <c r="D42" s="203"/>
      <c r="E42" s="264"/>
      <c r="F42" s="87"/>
      <c r="G42" s="272" t="e">
        <v>#N/A</v>
      </c>
      <c r="H42" s="215"/>
      <c r="I42" s="215"/>
      <c r="J42" s="260" t="e">
        <v>#N/A</v>
      </c>
      <c r="K42" s="260"/>
      <c r="L42" s="87"/>
      <c r="M42" s="245"/>
      <c r="N42" s="163"/>
      <c r="O42" s="66"/>
      <c r="P42" s="66"/>
      <c r="Q42" s="66"/>
      <c r="R42" s="66"/>
      <c r="S42" s="66"/>
      <c r="T42" s="66"/>
      <c r="U42" s="66"/>
      <c r="V42" s="66"/>
      <c r="W42" s="66"/>
      <c r="X42" s="66"/>
      <c r="Y42" s="66"/>
    </row>
    <row r="43" spans="1:25" ht="14.4" hidden="1" x14ac:dyDescent="0.3">
      <c r="A43" s="266" t="s">
        <v>40</v>
      </c>
      <c r="B43" s="262"/>
      <c r="C43" s="204" t="s">
        <v>33</v>
      </c>
      <c r="D43" s="203" t="s">
        <v>33</v>
      </c>
      <c r="E43" s="262"/>
      <c r="F43" s="87" t="s">
        <v>33</v>
      </c>
      <c r="G43" s="272" t="e">
        <v>#N/A</v>
      </c>
      <c r="H43" s="215" t="s">
        <v>33</v>
      </c>
      <c r="I43" s="215" t="s">
        <v>33</v>
      </c>
      <c r="J43" s="260" t="e">
        <v>#N/A</v>
      </c>
      <c r="K43" s="260" t="e">
        <v>#N/A</v>
      </c>
      <c r="L43" s="87" t="s">
        <v>33</v>
      </c>
      <c r="M43" s="245"/>
      <c r="N43" s="163"/>
      <c r="O43" s="66"/>
      <c r="P43" s="66"/>
      <c r="Q43" s="66"/>
      <c r="R43" s="66"/>
      <c r="S43" s="66"/>
      <c r="T43" s="66"/>
      <c r="U43" s="66"/>
      <c r="V43" s="66"/>
      <c r="W43" s="66"/>
      <c r="X43" s="66"/>
      <c r="Y43" s="66"/>
    </row>
    <row r="44" spans="1:25" ht="14.4" x14ac:dyDescent="0.3">
      <c r="A44" s="1" t="s">
        <v>41</v>
      </c>
      <c r="B44" s="262">
        <v>65252.37999999999</v>
      </c>
      <c r="C44" s="251">
        <v>212171</v>
      </c>
      <c r="D44" s="203">
        <v>212171</v>
      </c>
      <c r="E44" s="264">
        <v>186032.87999999998</v>
      </c>
      <c r="F44" s="87">
        <v>0.35075724248315676</v>
      </c>
      <c r="G44" s="272">
        <v>21023452</v>
      </c>
      <c r="H44" s="215">
        <v>13665243.800000001</v>
      </c>
      <c r="I44" s="215">
        <v>7358208.1999999993</v>
      </c>
      <c r="J44" s="260">
        <v>75360609</v>
      </c>
      <c r="K44" s="260">
        <v>64937261</v>
      </c>
      <c r="L44" s="87">
        <v>0.32375021176208835</v>
      </c>
      <c r="M44" s="245"/>
      <c r="N44" s="233"/>
      <c r="O44" s="193"/>
      <c r="P44" s="193"/>
      <c r="Q44" s="66"/>
      <c r="R44" s="66"/>
      <c r="S44" s="66"/>
      <c r="T44" s="66"/>
      <c r="U44" s="66"/>
      <c r="V44" s="66"/>
      <c r="W44" s="66"/>
      <c r="X44" s="66"/>
      <c r="Y44" s="66"/>
    </row>
    <row r="45" spans="1:25" ht="14.4" x14ac:dyDescent="0.3">
      <c r="A45" s="1" t="s">
        <v>42</v>
      </c>
      <c r="B45" s="262">
        <v>54333</v>
      </c>
      <c r="C45" s="251">
        <v>95103</v>
      </c>
      <c r="D45" s="203">
        <v>95103</v>
      </c>
      <c r="E45" s="264">
        <v>132590</v>
      </c>
      <c r="F45" s="87">
        <v>0.40978203484425674</v>
      </c>
      <c r="G45" s="272">
        <v>8325486</v>
      </c>
      <c r="H45" s="215">
        <v>5411565.9000000004</v>
      </c>
      <c r="I45" s="215">
        <v>2913920.0999999996</v>
      </c>
      <c r="J45" s="260">
        <v>13402537</v>
      </c>
      <c r="K45" s="260">
        <v>20161183</v>
      </c>
      <c r="L45" s="87">
        <v>0.41294630379576436</v>
      </c>
      <c r="M45" s="245"/>
      <c r="N45" s="162"/>
      <c r="O45" s="66"/>
      <c r="P45" s="66"/>
      <c r="Q45" s="66"/>
      <c r="R45" s="66"/>
      <c r="S45" s="66"/>
      <c r="T45" s="66"/>
      <c r="U45" s="66"/>
      <c r="V45" s="66"/>
      <c r="W45" s="66"/>
      <c r="X45" s="66"/>
      <c r="Y45" s="66"/>
    </row>
    <row r="46" spans="1:25" ht="14.4" x14ac:dyDescent="0.3">
      <c r="A46" s="1" t="s">
        <v>43</v>
      </c>
      <c r="B46" s="262">
        <v>7973</v>
      </c>
      <c r="C46" s="251">
        <v>16700</v>
      </c>
      <c r="D46" s="203">
        <v>16700</v>
      </c>
      <c r="E46" s="264">
        <v>26481</v>
      </c>
      <c r="F46" s="87">
        <v>0.30108379592915674</v>
      </c>
      <c r="G46" s="272" t="s">
        <v>33</v>
      </c>
      <c r="H46" s="215" t="s">
        <v>33</v>
      </c>
      <c r="I46" s="215" t="s">
        <v>33</v>
      </c>
      <c r="J46" s="260" t="s">
        <v>33</v>
      </c>
      <c r="K46" s="260" t="s">
        <v>33</v>
      </c>
      <c r="L46" s="87" t="s">
        <v>33</v>
      </c>
      <c r="M46" s="245"/>
      <c r="N46" s="163"/>
      <c r="O46" s="66"/>
      <c r="P46" s="66"/>
      <c r="Q46" s="66"/>
      <c r="R46" s="66"/>
      <c r="S46" s="66"/>
      <c r="T46" s="66"/>
      <c r="U46" s="66"/>
      <c r="V46" s="66"/>
      <c r="W46" s="66"/>
      <c r="X46" s="66"/>
      <c r="Y46" s="66"/>
    </row>
    <row r="47" spans="1:25" ht="14.4" x14ac:dyDescent="0.3">
      <c r="A47" s="1" t="s">
        <v>44</v>
      </c>
      <c r="B47" s="262">
        <v>16198.3</v>
      </c>
      <c r="C47" s="204">
        <v>52245</v>
      </c>
      <c r="D47" s="203">
        <v>52245</v>
      </c>
      <c r="E47" s="264">
        <v>52245.3</v>
      </c>
      <c r="F47" s="87">
        <v>0.31004320005818703</v>
      </c>
      <c r="G47" s="272">
        <v>3846661</v>
      </c>
      <c r="H47" s="215">
        <v>2500329.65</v>
      </c>
      <c r="I47" s="215">
        <v>1346331.35</v>
      </c>
      <c r="J47" s="260">
        <v>17115684</v>
      </c>
      <c r="K47" s="260">
        <v>16317289</v>
      </c>
      <c r="L47" s="87">
        <v>0.23574142739029749</v>
      </c>
      <c r="M47" s="245"/>
      <c r="N47" s="233"/>
      <c r="O47" s="193"/>
      <c r="P47" s="193"/>
      <c r="Q47" s="66"/>
      <c r="R47" s="66"/>
      <c r="S47" s="66"/>
      <c r="T47" s="66"/>
      <c r="U47" s="66"/>
      <c r="V47" s="66"/>
      <c r="W47" s="66"/>
      <c r="X47" s="66"/>
      <c r="Y47" s="66"/>
    </row>
    <row r="48" spans="1:25" ht="14.4" x14ac:dyDescent="0.3">
      <c r="A48" s="1" t="s">
        <v>45</v>
      </c>
      <c r="B48" s="262">
        <v>8141.9000000000005</v>
      </c>
      <c r="C48" s="204">
        <v>36100</v>
      </c>
      <c r="D48" s="203">
        <v>36100</v>
      </c>
      <c r="E48" s="264">
        <v>30897.9</v>
      </c>
      <c r="F48" s="87">
        <v>0.26350981781933402</v>
      </c>
      <c r="G48" s="272">
        <v>3532853</v>
      </c>
      <c r="H48" s="215">
        <v>2296354.4500000002</v>
      </c>
      <c r="I48" s="215">
        <v>1236498.5499999998</v>
      </c>
      <c r="J48" s="260">
        <v>12669953</v>
      </c>
      <c r="K48" s="260">
        <v>11530443</v>
      </c>
      <c r="L48" s="87">
        <v>0.30639351844504153</v>
      </c>
      <c r="M48" s="245"/>
      <c r="N48" s="162"/>
      <c r="O48" s="66"/>
      <c r="P48" s="66"/>
      <c r="Q48" s="66"/>
      <c r="R48" s="66"/>
      <c r="S48" s="66"/>
      <c r="T48" s="66"/>
      <c r="U48" s="66"/>
      <c r="V48" s="66"/>
      <c r="W48" s="66"/>
      <c r="X48" s="66"/>
      <c r="Y48" s="66"/>
    </row>
    <row r="49" spans="1:25" ht="14.4" x14ac:dyDescent="0.3">
      <c r="A49" s="1" t="s">
        <v>46</v>
      </c>
      <c r="B49" s="262">
        <v>5240.0300000000007</v>
      </c>
      <c r="C49" s="204">
        <v>37862</v>
      </c>
      <c r="D49" s="203">
        <v>37862</v>
      </c>
      <c r="E49" s="264">
        <v>37862.509999999995</v>
      </c>
      <c r="F49" s="87">
        <v>0.13839626585770468</v>
      </c>
      <c r="G49" s="272">
        <v>3327496</v>
      </c>
      <c r="H49" s="215">
        <v>0</v>
      </c>
      <c r="I49" s="215">
        <v>3327496</v>
      </c>
      <c r="J49" s="260">
        <v>8256814</v>
      </c>
      <c r="K49" s="260">
        <v>8281551</v>
      </c>
      <c r="L49" s="87">
        <v>0.40179623357991756</v>
      </c>
      <c r="M49" s="245"/>
      <c r="N49" s="163"/>
      <c r="O49" s="66"/>
      <c r="P49" s="66"/>
      <c r="Q49" s="66"/>
      <c r="R49" s="66"/>
      <c r="S49" s="66"/>
      <c r="T49" s="66"/>
      <c r="U49" s="66"/>
      <c r="V49" s="66"/>
      <c r="W49" s="66"/>
      <c r="X49" s="66"/>
      <c r="Y49" s="66"/>
    </row>
    <row r="50" spans="1:25" ht="14.4" x14ac:dyDescent="0.3">
      <c r="A50" s="1" t="s">
        <v>47</v>
      </c>
      <c r="B50" s="262">
        <v>1645.32</v>
      </c>
      <c r="C50" s="204">
        <v>5204</v>
      </c>
      <c r="D50" s="203">
        <v>5204</v>
      </c>
      <c r="E50" s="264">
        <v>5006.32</v>
      </c>
      <c r="F50" s="87">
        <v>0.32864858818453474</v>
      </c>
      <c r="G50" s="272">
        <v>980328</v>
      </c>
      <c r="H50" s="215">
        <v>637213.20000000007</v>
      </c>
      <c r="I50" s="215">
        <v>343114.79999999993</v>
      </c>
      <c r="J50" s="260">
        <v>2795623</v>
      </c>
      <c r="K50" s="260">
        <v>2849742</v>
      </c>
      <c r="L50" s="87">
        <v>0.34400587842688918</v>
      </c>
      <c r="M50" s="245"/>
      <c r="N50" s="233"/>
      <c r="O50" s="193"/>
      <c r="P50" s="193"/>
      <c r="Q50" s="66"/>
      <c r="R50" s="66"/>
      <c r="S50" s="66"/>
      <c r="T50" s="66"/>
      <c r="U50" s="66"/>
      <c r="V50" s="66"/>
      <c r="W50" s="66"/>
      <c r="X50" s="66"/>
      <c r="Y50" s="66"/>
    </row>
    <row r="51" spans="1:25" ht="14.4" x14ac:dyDescent="0.3">
      <c r="A51" s="1" t="s">
        <v>48</v>
      </c>
      <c r="B51" s="262" t="s">
        <v>33</v>
      </c>
      <c r="C51" s="248" t="s">
        <v>33</v>
      </c>
      <c r="D51" s="203" t="s">
        <v>33</v>
      </c>
      <c r="E51" s="262" t="s">
        <v>33</v>
      </c>
      <c r="F51" s="87" t="s">
        <v>33</v>
      </c>
      <c r="G51" s="272">
        <v>274966</v>
      </c>
      <c r="H51" s="215">
        <v>178727.9</v>
      </c>
      <c r="I51" s="215">
        <v>96238.1</v>
      </c>
      <c r="J51" s="260">
        <v>1131657</v>
      </c>
      <c r="K51" s="260">
        <v>943211</v>
      </c>
      <c r="L51" s="87"/>
      <c r="M51" s="245"/>
      <c r="N51" s="162"/>
      <c r="O51" s="66"/>
      <c r="P51" s="66"/>
      <c r="Q51" s="66"/>
      <c r="R51" s="66"/>
      <c r="S51" s="66"/>
      <c r="T51" s="66"/>
      <c r="U51" s="66"/>
      <c r="V51" s="66"/>
      <c r="W51" s="66"/>
      <c r="X51" s="66"/>
      <c r="Y51" s="66"/>
    </row>
    <row r="52" spans="1:25" ht="14.4" x14ac:dyDescent="0.3">
      <c r="A52" s="1" t="s">
        <v>49</v>
      </c>
      <c r="B52" s="262">
        <v>600.5</v>
      </c>
      <c r="C52" s="204">
        <v>1435</v>
      </c>
      <c r="D52" s="203">
        <v>1435</v>
      </c>
      <c r="E52" s="264">
        <v>1420</v>
      </c>
      <c r="F52" s="87">
        <v>0.42288732394366196</v>
      </c>
      <c r="G52" s="272">
        <v>224207</v>
      </c>
      <c r="H52" s="215">
        <v>0</v>
      </c>
      <c r="I52" s="215">
        <v>224207</v>
      </c>
      <c r="J52" s="260">
        <v>457456</v>
      </c>
      <c r="K52" s="260">
        <v>463654</v>
      </c>
      <c r="L52" s="87">
        <v>0.48356533104427007</v>
      </c>
      <c r="M52" s="245"/>
      <c r="N52" s="163"/>
      <c r="O52" s="66"/>
      <c r="P52" s="66"/>
      <c r="Q52" s="66"/>
      <c r="R52" s="66"/>
      <c r="S52" s="66"/>
      <c r="T52" s="66"/>
      <c r="U52" s="66"/>
      <c r="V52" s="66"/>
      <c r="W52" s="66"/>
      <c r="X52" s="66"/>
      <c r="Y52" s="66"/>
    </row>
    <row r="53" spans="1:25" ht="14.4" x14ac:dyDescent="0.3">
      <c r="A53" s="1" t="s">
        <v>50</v>
      </c>
      <c r="B53" s="262" t="s">
        <v>33</v>
      </c>
      <c r="C53" s="248" t="s">
        <v>33</v>
      </c>
      <c r="D53" s="203" t="s">
        <v>33</v>
      </c>
      <c r="E53" s="262" t="s">
        <v>33</v>
      </c>
      <c r="F53" s="84" t="s">
        <v>33</v>
      </c>
      <c r="G53" s="272">
        <v>2602167</v>
      </c>
      <c r="H53" s="215">
        <v>0</v>
      </c>
      <c r="I53" s="215">
        <v>2602167</v>
      </c>
      <c r="J53" s="260">
        <v>6173000</v>
      </c>
      <c r="K53" s="260">
        <v>5973000</v>
      </c>
      <c r="L53" s="87">
        <v>0.43565494726268206</v>
      </c>
      <c r="M53" s="245"/>
      <c r="N53" s="233"/>
      <c r="O53" s="193"/>
      <c r="P53" s="193"/>
      <c r="Q53" s="66"/>
      <c r="R53" s="66"/>
      <c r="S53" s="66"/>
      <c r="T53" s="66"/>
      <c r="U53" s="66"/>
      <c r="V53" s="66"/>
      <c r="W53" s="66"/>
      <c r="X53" s="66"/>
      <c r="Y53" s="66"/>
    </row>
    <row r="54" spans="1:25" ht="14.4" x14ac:dyDescent="0.3">
      <c r="A54" s="1" t="s">
        <v>51</v>
      </c>
      <c r="B54" s="262" t="s">
        <v>33</v>
      </c>
      <c r="C54" s="248" t="s">
        <v>33</v>
      </c>
      <c r="D54" s="203" t="s">
        <v>33</v>
      </c>
      <c r="E54" s="262" t="s">
        <v>33</v>
      </c>
      <c r="F54" s="84" t="s">
        <v>33</v>
      </c>
      <c r="G54" s="272">
        <v>29824</v>
      </c>
      <c r="H54" s="215">
        <v>0</v>
      </c>
      <c r="I54" s="215">
        <v>29824</v>
      </c>
      <c r="J54" s="260">
        <v>50000</v>
      </c>
      <c r="K54" s="260">
        <v>49741</v>
      </c>
      <c r="L54" s="87">
        <v>0.59958585472748838</v>
      </c>
      <c r="M54" s="245"/>
      <c r="N54" s="162"/>
      <c r="O54" s="66"/>
      <c r="P54" s="66"/>
      <c r="Q54" s="66"/>
      <c r="R54" s="66"/>
      <c r="S54" s="66"/>
      <c r="T54" s="66"/>
      <c r="U54" s="66"/>
      <c r="V54" s="66"/>
      <c r="W54" s="66"/>
      <c r="X54" s="66"/>
      <c r="Y54" s="66"/>
    </row>
    <row r="55" spans="1:25" ht="20.100000000000001" customHeight="1" x14ac:dyDescent="0.3">
      <c r="A55" s="41" t="s">
        <v>52</v>
      </c>
      <c r="B55" s="257">
        <v>243613.78999999998</v>
      </c>
      <c r="C55" s="220">
        <v>646544</v>
      </c>
      <c r="D55" s="220">
        <v>646544</v>
      </c>
      <c r="E55" s="220">
        <v>661690.12</v>
      </c>
      <c r="F55" s="221">
        <v>0.36816900031694594</v>
      </c>
      <c r="G55" s="273">
        <v>69784809</v>
      </c>
      <c r="H55" s="222">
        <v>41340724.750000007</v>
      </c>
      <c r="I55" s="222">
        <v>28444084.249999993</v>
      </c>
      <c r="J55" s="222">
        <v>196937456</v>
      </c>
      <c r="K55" s="222">
        <v>190934342</v>
      </c>
      <c r="L55" s="88">
        <v>0.36549113307233122</v>
      </c>
      <c r="M55" s="245"/>
      <c r="N55" s="163"/>
      <c r="O55" s="66"/>
      <c r="P55" s="66"/>
      <c r="Q55" s="66"/>
      <c r="R55" s="66"/>
      <c r="S55" s="66"/>
      <c r="T55" s="66"/>
      <c r="U55" s="66"/>
      <c r="V55" s="66"/>
      <c r="W55" s="66"/>
      <c r="X55" s="66"/>
      <c r="Y55" s="66"/>
    </row>
    <row r="56" spans="1:25" ht="20.100000000000001" customHeight="1" x14ac:dyDescent="0.3">
      <c r="A56" s="259" t="s">
        <v>53</v>
      </c>
      <c r="B56" s="207"/>
      <c r="C56" s="207"/>
      <c r="D56" s="207"/>
      <c r="E56" s="207"/>
      <c r="F56" s="207"/>
      <c r="G56" s="207"/>
      <c r="H56" s="197"/>
      <c r="I56" s="197"/>
      <c r="J56" s="197"/>
      <c r="K56" s="197"/>
      <c r="L56" s="198"/>
      <c r="M56" s="245"/>
      <c r="N56" s="163"/>
      <c r="O56" s="66"/>
      <c r="P56" s="66"/>
      <c r="Q56" s="66"/>
      <c r="R56" s="66"/>
      <c r="S56" s="66"/>
      <c r="T56" s="66"/>
      <c r="U56" s="66"/>
      <c r="V56" s="66"/>
      <c r="W56" s="66"/>
      <c r="X56" s="66"/>
      <c r="Y56" s="66"/>
    </row>
    <row r="57" spans="1:25" ht="14.4" x14ac:dyDescent="0.3">
      <c r="A57" s="1" t="s">
        <v>54</v>
      </c>
      <c r="B57" s="255">
        <v>10064.250000000002</v>
      </c>
      <c r="C57" s="200">
        <v>37459.279999999999</v>
      </c>
      <c r="D57" s="200">
        <v>37459.279999999999</v>
      </c>
      <c r="E57" s="200">
        <v>37344.630000000005</v>
      </c>
      <c r="F57" s="87">
        <v>0.26949657822289308</v>
      </c>
      <c r="G57" s="270">
        <v>4218666</v>
      </c>
      <c r="H57" s="215">
        <v>2742132.9000000004</v>
      </c>
      <c r="I57" s="215">
        <v>1476533.0999999996</v>
      </c>
      <c r="J57" s="215">
        <v>13860621</v>
      </c>
      <c r="K57" s="215">
        <v>13770591</v>
      </c>
      <c r="L57" s="87">
        <v>0.30635330030497604</v>
      </c>
      <c r="M57" s="245"/>
      <c r="N57" s="233"/>
      <c r="O57" s="193"/>
      <c r="P57" s="193"/>
      <c r="Q57" s="66"/>
      <c r="R57" s="66"/>
      <c r="S57" s="66"/>
      <c r="T57" s="66"/>
      <c r="U57" s="66"/>
      <c r="V57" s="66"/>
      <c r="W57" s="66"/>
      <c r="X57" s="66"/>
      <c r="Y57" s="66"/>
    </row>
    <row r="58" spans="1:25" ht="14.4" x14ac:dyDescent="0.3">
      <c r="A58" s="191" t="s">
        <v>55</v>
      </c>
      <c r="B58" s="262">
        <v>9353.9000000000015</v>
      </c>
      <c r="C58" s="251">
        <v>35459.279999999999</v>
      </c>
      <c r="D58" s="200">
        <v>35459.279999999999</v>
      </c>
      <c r="E58" s="264">
        <v>35459.280000000006</v>
      </c>
      <c r="F58" s="87">
        <v>0.26379272224365524</v>
      </c>
      <c r="G58" s="272">
        <v>3742098</v>
      </c>
      <c r="H58" s="215">
        <v>2432363.7000000002</v>
      </c>
      <c r="I58" s="215">
        <v>1309734.2999999998</v>
      </c>
      <c r="J58" s="260">
        <v>12528425</v>
      </c>
      <c r="K58" s="260">
        <v>12533667</v>
      </c>
      <c r="L58" s="87">
        <v>0.29856370047169756</v>
      </c>
      <c r="M58" s="245"/>
      <c r="N58" s="162"/>
      <c r="O58" s="66"/>
      <c r="P58" s="66"/>
      <c r="Q58" s="66"/>
      <c r="R58" s="66"/>
      <c r="S58" s="66"/>
      <c r="T58" s="66"/>
      <c r="U58" s="66"/>
      <c r="V58" s="66"/>
      <c r="W58" s="66"/>
      <c r="X58" s="66"/>
      <c r="Y58" s="66"/>
    </row>
    <row r="59" spans="1:25" ht="14.4" x14ac:dyDescent="0.3">
      <c r="A59" s="191" t="s">
        <v>56</v>
      </c>
      <c r="B59" s="262">
        <v>710.35</v>
      </c>
      <c r="C59" s="251">
        <v>2000</v>
      </c>
      <c r="D59" s="200">
        <v>2000</v>
      </c>
      <c r="E59" s="264">
        <v>1885.35</v>
      </c>
      <c r="F59" s="87">
        <v>0.37677354337390939</v>
      </c>
      <c r="G59" s="272">
        <v>476568</v>
      </c>
      <c r="H59" s="215">
        <v>309769.2</v>
      </c>
      <c r="I59" s="215">
        <v>166798.79999999999</v>
      </c>
      <c r="J59" s="260">
        <v>1332196</v>
      </c>
      <c r="K59" s="260">
        <v>1236924</v>
      </c>
      <c r="L59" s="87">
        <v>0.38528478710090514</v>
      </c>
      <c r="M59" s="245"/>
      <c r="N59" s="163"/>
      <c r="O59" s="66"/>
      <c r="P59" s="66"/>
      <c r="Q59" s="66"/>
      <c r="R59" s="66"/>
      <c r="S59" s="66"/>
      <c r="T59" s="66"/>
      <c r="U59" s="66"/>
      <c r="V59" s="66"/>
      <c r="W59" s="66"/>
      <c r="X59" s="66"/>
      <c r="Y59" s="66"/>
    </row>
    <row r="60" spans="1:25" ht="14.4" x14ac:dyDescent="0.3">
      <c r="A60" s="1" t="s">
        <v>57</v>
      </c>
      <c r="B60" s="262">
        <v>7766.2200000000012</v>
      </c>
      <c r="C60" s="251">
        <v>36808.428042</v>
      </c>
      <c r="D60" s="200">
        <v>36808.428042</v>
      </c>
      <c r="E60" s="264">
        <v>50089.750000000007</v>
      </c>
      <c r="F60" s="87">
        <v>0.15504609226438543</v>
      </c>
      <c r="G60" s="272">
        <v>2755562</v>
      </c>
      <c r="H60" s="215">
        <v>1791115.3</v>
      </c>
      <c r="I60" s="215">
        <v>964446.7</v>
      </c>
      <c r="J60" s="260">
        <v>13069425</v>
      </c>
      <c r="K60" s="260">
        <v>17415103</v>
      </c>
      <c r="L60" s="87">
        <v>0.15822829184530232</v>
      </c>
      <c r="M60" s="245"/>
      <c r="N60" s="233"/>
      <c r="O60" s="193"/>
      <c r="P60" s="193"/>
      <c r="Q60" s="66"/>
      <c r="R60" s="66"/>
      <c r="S60" s="66"/>
      <c r="T60" s="66"/>
      <c r="U60" s="66"/>
      <c r="V60" s="66"/>
      <c r="W60" s="66"/>
      <c r="X60" s="66"/>
      <c r="Y60" s="66"/>
    </row>
    <row r="61" spans="1:25" ht="14.4" x14ac:dyDescent="0.3">
      <c r="A61" s="1" t="s">
        <v>58</v>
      </c>
      <c r="B61" s="262">
        <v>11859</v>
      </c>
      <c r="C61" s="251">
        <v>13994</v>
      </c>
      <c r="D61" s="200">
        <v>13994</v>
      </c>
      <c r="E61" s="264">
        <v>24098</v>
      </c>
      <c r="F61" s="87">
        <v>0.49211552825960658</v>
      </c>
      <c r="G61" s="272">
        <v>1388601</v>
      </c>
      <c r="H61" s="215">
        <v>902590.65</v>
      </c>
      <c r="I61" s="215">
        <v>486010.35</v>
      </c>
      <c r="J61" s="260">
        <v>1905330</v>
      </c>
      <c r="K61" s="260">
        <v>3046836</v>
      </c>
      <c r="L61" s="87">
        <v>0.45575180285384576</v>
      </c>
      <c r="M61" s="245"/>
      <c r="N61" s="162"/>
      <c r="O61" s="66"/>
      <c r="P61" s="66"/>
      <c r="Q61" s="66"/>
      <c r="R61" s="66"/>
      <c r="S61" s="66"/>
      <c r="T61" s="66"/>
      <c r="U61" s="66"/>
      <c r="V61" s="66"/>
      <c r="W61" s="66"/>
      <c r="X61" s="66"/>
      <c r="Y61" s="66"/>
    </row>
    <row r="62" spans="1:25" ht="14.4" hidden="1" x14ac:dyDescent="0.3">
      <c r="A62" s="266" t="s">
        <v>59</v>
      </c>
      <c r="B62" s="262"/>
      <c r="C62" s="248" t="s">
        <v>33</v>
      </c>
      <c r="D62" s="203" t="s">
        <v>33</v>
      </c>
      <c r="E62" s="262"/>
      <c r="F62" s="87" t="s">
        <v>33</v>
      </c>
      <c r="G62" s="272" t="s">
        <v>33</v>
      </c>
      <c r="H62" s="215" t="s">
        <v>33</v>
      </c>
      <c r="I62" s="215" t="s">
        <v>33</v>
      </c>
      <c r="J62" s="260" t="s">
        <v>33</v>
      </c>
      <c r="K62" s="260" t="s">
        <v>33</v>
      </c>
      <c r="L62" s="87" t="s">
        <v>33</v>
      </c>
      <c r="M62" s="245"/>
      <c r="N62" s="163"/>
      <c r="O62" s="66"/>
      <c r="P62" s="66"/>
      <c r="Q62" s="66"/>
      <c r="R62" s="66"/>
      <c r="S62" s="66"/>
      <c r="T62" s="66"/>
      <c r="U62" s="66"/>
      <c r="V62" s="66"/>
      <c r="W62" s="66"/>
      <c r="X62" s="66"/>
      <c r="Y62" s="66"/>
    </row>
    <row r="63" spans="1:25" ht="14.4" x14ac:dyDescent="0.3">
      <c r="A63" s="1" t="s">
        <v>60</v>
      </c>
      <c r="B63" s="262">
        <v>4077.91</v>
      </c>
      <c r="C63" s="251">
        <v>13613</v>
      </c>
      <c r="D63" s="200">
        <v>13613</v>
      </c>
      <c r="E63" s="264">
        <v>17107.91</v>
      </c>
      <c r="F63" s="87">
        <v>0.23836400822777298</v>
      </c>
      <c r="G63" s="272">
        <v>1068961</v>
      </c>
      <c r="H63" s="215">
        <v>694824.65</v>
      </c>
      <c r="I63" s="215">
        <v>374136.35</v>
      </c>
      <c r="J63" s="260">
        <v>4686146</v>
      </c>
      <c r="K63" s="260">
        <v>5393984</v>
      </c>
      <c r="L63" s="87">
        <v>0.19817652406829533</v>
      </c>
      <c r="M63" s="245"/>
      <c r="N63" s="233"/>
      <c r="O63" s="193"/>
      <c r="P63" s="193"/>
      <c r="Q63" s="66"/>
      <c r="R63" s="66"/>
      <c r="S63" s="66"/>
      <c r="T63" s="66"/>
      <c r="U63" s="66"/>
      <c r="V63" s="66"/>
      <c r="W63" s="66"/>
      <c r="X63" s="66"/>
      <c r="Y63" s="66"/>
    </row>
    <row r="64" spans="1:25" ht="14.4" x14ac:dyDescent="0.3">
      <c r="A64" s="1" t="s">
        <v>61</v>
      </c>
      <c r="B64" s="262">
        <v>148.16999999999999</v>
      </c>
      <c r="C64" s="251">
        <v>7550</v>
      </c>
      <c r="D64" s="200">
        <v>7550</v>
      </c>
      <c r="E64" s="264">
        <v>7550.93</v>
      </c>
      <c r="F64" s="87">
        <v>1.9622748456150432E-2</v>
      </c>
      <c r="G64" s="272">
        <v>550190</v>
      </c>
      <c r="H64" s="215">
        <v>0</v>
      </c>
      <c r="I64" s="215">
        <v>550190</v>
      </c>
      <c r="J64" s="260">
        <v>1570569</v>
      </c>
      <c r="K64" s="260">
        <v>1586480</v>
      </c>
      <c r="L64" s="87">
        <v>0.34679920326761132</v>
      </c>
      <c r="M64" s="245"/>
      <c r="N64" s="162"/>
      <c r="O64" s="66"/>
      <c r="P64" s="66"/>
      <c r="Q64" s="66"/>
      <c r="R64" s="66"/>
      <c r="S64" s="66"/>
      <c r="T64" s="66"/>
      <c r="U64" s="66"/>
      <c r="V64" s="66"/>
      <c r="W64" s="66"/>
      <c r="X64" s="66"/>
      <c r="Y64" s="66"/>
    </row>
    <row r="65" spans="1:25" ht="14.4" x14ac:dyDescent="0.3">
      <c r="A65" s="1" t="s">
        <v>62</v>
      </c>
      <c r="B65" s="262">
        <v>142</v>
      </c>
      <c r="C65" s="251">
        <v>833</v>
      </c>
      <c r="D65" s="200">
        <v>833</v>
      </c>
      <c r="E65" s="264">
        <v>1032</v>
      </c>
      <c r="F65" s="87">
        <v>0.1375968992248062</v>
      </c>
      <c r="G65" s="272">
        <v>152746</v>
      </c>
      <c r="H65" s="215">
        <v>99284.900000000009</v>
      </c>
      <c r="I65" s="215">
        <v>53461.099999999991</v>
      </c>
      <c r="J65" s="260">
        <v>435778</v>
      </c>
      <c r="K65" s="260">
        <v>501065</v>
      </c>
      <c r="L65" s="87">
        <v>0.30484268508077794</v>
      </c>
      <c r="M65" s="245"/>
      <c r="N65" s="163"/>
      <c r="O65" s="66"/>
      <c r="P65" s="66"/>
      <c r="Q65" s="66"/>
      <c r="R65" s="66"/>
      <c r="S65" s="66"/>
      <c r="T65" s="66"/>
      <c r="U65" s="66"/>
      <c r="V65" s="66"/>
      <c r="W65" s="66"/>
      <c r="X65" s="66"/>
      <c r="Y65" s="66"/>
    </row>
    <row r="66" spans="1:25" ht="14.4" x14ac:dyDescent="0.3">
      <c r="A66" s="1" t="s">
        <v>63</v>
      </c>
      <c r="B66" s="262" t="s">
        <v>33</v>
      </c>
      <c r="C66" s="248" t="s">
        <v>33</v>
      </c>
      <c r="D66" s="203" t="s">
        <v>33</v>
      </c>
      <c r="E66" s="262" t="s">
        <v>33</v>
      </c>
      <c r="F66" s="87" t="s">
        <v>33</v>
      </c>
      <c r="G66" s="272">
        <v>137192</v>
      </c>
      <c r="H66" s="215">
        <v>89174.8</v>
      </c>
      <c r="I66" s="215">
        <v>48017.2</v>
      </c>
      <c r="J66" s="260">
        <v>568343</v>
      </c>
      <c r="K66" s="260">
        <v>480386</v>
      </c>
      <c r="L66" s="87"/>
      <c r="M66" s="245"/>
      <c r="N66" s="233"/>
      <c r="O66" s="193"/>
      <c r="P66" s="193"/>
      <c r="Q66" s="66"/>
      <c r="R66" s="66"/>
      <c r="S66" s="66"/>
      <c r="T66" s="66"/>
      <c r="U66" s="66"/>
      <c r="V66" s="66"/>
      <c r="W66" s="66"/>
      <c r="X66" s="66"/>
      <c r="Y66" s="66"/>
    </row>
    <row r="67" spans="1:25" ht="14.4" x14ac:dyDescent="0.3">
      <c r="A67" s="1" t="s">
        <v>64</v>
      </c>
      <c r="B67" s="262">
        <v>23.669999999999998</v>
      </c>
      <c r="C67" s="251">
        <v>74</v>
      </c>
      <c r="D67" s="200">
        <v>74</v>
      </c>
      <c r="E67" s="264">
        <v>72.67</v>
      </c>
      <c r="F67" s="87">
        <v>0.32571900371542589</v>
      </c>
      <c r="G67" s="272">
        <v>12119</v>
      </c>
      <c r="H67" s="215">
        <v>0</v>
      </c>
      <c r="I67" s="215">
        <v>12119</v>
      </c>
      <c r="J67" s="260">
        <v>23576</v>
      </c>
      <c r="K67" s="260">
        <v>26258</v>
      </c>
      <c r="L67" s="87">
        <v>0.46153553202833419</v>
      </c>
      <c r="M67" s="245"/>
      <c r="N67" s="162"/>
      <c r="O67" s="66"/>
      <c r="P67" s="66"/>
      <c r="Q67" s="66"/>
      <c r="R67" s="66"/>
      <c r="S67" s="66"/>
      <c r="T67" s="66"/>
      <c r="U67" s="66"/>
      <c r="V67" s="66"/>
      <c r="W67" s="66"/>
      <c r="X67" s="66"/>
      <c r="Y67" s="66"/>
    </row>
    <row r="68" spans="1:25" ht="14.4" x14ac:dyDescent="0.3">
      <c r="A68" s="1" t="s">
        <v>65</v>
      </c>
      <c r="B68" s="262" t="s">
        <v>33</v>
      </c>
      <c r="C68" s="248" t="s">
        <v>33</v>
      </c>
      <c r="D68" s="84" t="s">
        <v>33</v>
      </c>
      <c r="E68" s="262" t="s">
        <v>33</v>
      </c>
      <c r="F68" s="84" t="s">
        <v>33</v>
      </c>
      <c r="G68" s="272">
        <v>1081324</v>
      </c>
      <c r="H68" s="215">
        <v>0</v>
      </c>
      <c r="I68" s="215">
        <v>1081324</v>
      </c>
      <c r="J68" s="260">
        <v>1863241</v>
      </c>
      <c r="K68" s="260">
        <v>1863241</v>
      </c>
      <c r="L68" s="87">
        <v>0.5803457523744916</v>
      </c>
      <c r="M68" s="245"/>
      <c r="N68" s="163"/>
      <c r="O68" s="66"/>
      <c r="P68" s="66"/>
      <c r="Q68" s="66"/>
      <c r="R68" s="66"/>
      <c r="S68" s="66"/>
      <c r="T68" s="66"/>
      <c r="U68" s="66"/>
      <c r="V68" s="66"/>
      <c r="W68" s="66"/>
      <c r="X68" s="66"/>
      <c r="Y68" s="66"/>
    </row>
    <row r="69" spans="1:25" ht="20.100000000000001" customHeight="1" x14ac:dyDescent="0.3">
      <c r="A69" s="41" t="s">
        <v>66</v>
      </c>
      <c r="B69" s="257">
        <v>34081.22</v>
      </c>
      <c r="C69" s="220">
        <v>110331.708042</v>
      </c>
      <c r="D69" s="220">
        <v>110331.708042</v>
      </c>
      <c r="E69" s="220">
        <v>137295.89000000001</v>
      </c>
      <c r="F69" s="221">
        <v>0.24823190264471862</v>
      </c>
      <c r="G69" s="273">
        <v>11365361</v>
      </c>
      <c r="H69" s="222">
        <v>6319123.2000000011</v>
      </c>
      <c r="I69" s="222">
        <v>5046237.8000000007</v>
      </c>
      <c r="J69" s="222">
        <v>37983029</v>
      </c>
      <c r="K69" s="222">
        <v>44083944</v>
      </c>
      <c r="L69" s="88">
        <v>0.25781180104937979</v>
      </c>
      <c r="M69" s="245"/>
      <c r="N69" s="233"/>
      <c r="O69" s="193"/>
      <c r="P69" s="193"/>
      <c r="Q69" s="66"/>
      <c r="R69" s="66"/>
      <c r="S69" s="66"/>
      <c r="T69" s="66"/>
      <c r="U69" s="66"/>
      <c r="V69" s="66"/>
      <c r="W69" s="66"/>
      <c r="X69" s="66"/>
      <c r="Y69" s="66"/>
    </row>
    <row r="70" spans="1:25" ht="20.100000000000001" customHeight="1" x14ac:dyDescent="0.3">
      <c r="A70" s="256" t="s">
        <v>67</v>
      </c>
      <c r="B70" s="205"/>
      <c r="C70" s="205"/>
      <c r="D70" s="205"/>
      <c r="E70" s="205"/>
      <c r="F70" s="199"/>
      <c r="G70" s="212"/>
      <c r="H70" s="17"/>
      <c r="I70" s="17"/>
      <c r="J70" s="17"/>
      <c r="K70" s="17"/>
      <c r="L70" s="18"/>
      <c r="M70" s="245"/>
      <c r="N70" s="162"/>
      <c r="O70" s="66"/>
      <c r="P70" s="66"/>
      <c r="Q70" s="66"/>
      <c r="R70" s="66"/>
      <c r="S70" s="66"/>
      <c r="T70" s="66"/>
      <c r="U70" s="66"/>
      <c r="V70" s="66"/>
      <c r="W70" s="66"/>
      <c r="X70" s="66"/>
      <c r="Y70" s="66"/>
    </row>
    <row r="71" spans="1:25" ht="14.4" x14ac:dyDescent="0.3">
      <c r="A71" s="1" t="s">
        <v>68</v>
      </c>
      <c r="B71" s="255">
        <v>50031</v>
      </c>
      <c r="C71" s="200">
        <v>93451</v>
      </c>
      <c r="D71" s="200">
        <v>93451</v>
      </c>
      <c r="E71" s="201">
        <v>98600</v>
      </c>
      <c r="F71" s="86">
        <v>0.50741379310344825</v>
      </c>
      <c r="G71" s="269">
        <v>3101241</v>
      </c>
      <c r="H71" s="214">
        <v>2015806.6500000001</v>
      </c>
      <c r="I71" s="215">
        <v>1085434.3499999999</v>
      </c>
      <c r="J71" s="215">
        <v>6259880</v>
      </c>
      <c r="K71" s="215">
        <v>6208346</v>
      </c>
      <c r="L71" s="87">
        <v>0.49952773250717664</v>
      </c>
      <c r="M71" s="245"/>
      <c r="N71" s="163"/>
      <c r="O71" s="66"/>
      <c r="P71" s="66"/>
      <c r="Q71" s="66"/>
      <c r="R71" s="66"/>
      <c r="S71" s="66"/>
      <c r="T71" s="66"/>
      <c r="U71" s="66"/>
      <c r="V71" s="66"/>
      <c r="W71" s="66"/>
      <c r="X71" s="66"/>
      <c r="Y71" s="66"/>
    </row>
    <row r="72" spans="1:25" ht="14.4" x14ac:dyDescent="0.3">
      <c r="A72" s="1" t="s">
        <v>69</v>
      </c>
      <c r="B72" s="255">
        <v>7641</v>
      </c>
      <c r="C72" s="200">
        <v>14309</v>
      </c>
      <c r="D72" s="200">
        <v>14309</v>
      </c>
      <c r="E72" s="201">
        <v>14502</v>
      </c>
      <c r="F72" s="86">
        <v>0.52689284236657008</v>
      </c>
      <c r="G72" s="269">
        <v>10991216</v>
      </c>
      <c r="H72" s="214">
        <v>7144290.4000000004</v>
      </c>
      <c r="I72" s="215">
        <v>3846925.5999999996</v>
      </c>
      <c r="J72" s="215">
        <v>32319012</v>
      </c>
      <c r="K72" s="215">
        <v>32344435</v>
      </c>
      <c r="L72" s="87">
        <v>0.33981783883379013</v>
      </c>
      <c r="M72" s="245"/>
      <c r="N72" s="233"/>
      <c r="O72" s="193"/>
      <c r="P72" s="193"/>
      <c r="Q72" s="66"/>
      <c r="R72" s="66"/>
      <c r="S72" s="66"/>
      <c r="T72" s="66"/>
      <c r="U72" s="66"/>
      <c r="V72" s="66"/>
      <c r="W72" s="66"/>
      <c r="X72" s="66"/>
      <c r="Y72" s="66"/>
    </row>
    <row r="73" spans="1:25" ht="14.4" x14ac:dyDescent="0.3">
      <c r="A73" s="1" t="s">
        <v>70</v>
      </c>
      <c r="B73" s="255">
        <v>14362</v>
      </c>
      <c r="C73" s="200">
        <v>33860</v>
      </c>
      <c r="D73" s="200">
        <v>33860</v>
      </c>
      <c r="E73" s="201">
        <v>34170</v>
      </c>
      <c r="F73" s="86">
        <v>0.42031021363769389</v>
      </c>
      <c r="G73" s="269">
        <v>15073552</v>
      </c>
      <c r="H73" s="214">
        <v>9797808.8000000007</v>
      </c>
      <c r="I73" s="215">
        <v>5275743.1999999993</v>
      </c>
      <c r="J73" s="215">
        <v>35329334</v>
      </c>
      <c r="K73" s="215">
        <v>35464274</v>
      </c>
      <c r="L73" s="87">
        <v>0.42503483928643232</v>
      </c>
      <c r="M73" s="245"/>
      <c r="N73" s="162"/>
      <c r="O73" s="66"/>
      <c r="P73" s="66"/>
      <c r="Q73" s="66"/>
      <c r="R73" s="66"/>
      <c r="S73" s="66"/>
      <c r="T73" s="66"/>
      <c r="U73" s="66"/>
      <c r="V73" s="66"/>
      <c r="W73" s="66"/>
      <c r="X73" s="66"/>
      <c r="Y73" s="66"/>
    </row>
    <row r="74" spans="1:25" ht="14.4" x14ac:dyDescent="0.3">
      <c r="A74" s="1" t="s">
        <v>71</v>
      </c>
      <c r="B74" s="255">
        <v>175525.01131</v>
      </c>
      <c r="C74" s="200">
        <v>203466.21002319999</v>
      </c>
      <c r="D74" s="200">
        <v>203466.21002319999</v>
      </c>
      <c r="E74" s="201">
        <v>225469.60566520001</v>
      </c>
      <c r="F74" s="86">
        <v>0.77848635425671175</v>
      </c>
      <c r="G74" s="269">
        <v>16345196</v>
      </c>
      <c r="H74" s="214">
        <v>10624377.4</v>
      </c>
      <c r="I74" s="215">
        <v>5720818.5999999996</v>
      </c>
      <c r="J74" s="215">
        <v>35353710</v>
      </c>
      <c r="K74" s="215">
        <v>35341349</v>
      </c>
      <c r="L74" s="87">
        <v>0.46249496588259831</v>
      </c>
      <c r="M74" s="245"/>
      <c r="N74" s="163"/>
      <c r="O74" s="66"/>
      <c r="P74" s="66"/>
      <c r="Q74" s="66"/>
      <c r="R74" s="66"/>
      <c r="S74" s="66"/>
      <c r="T74" s="66"/>
      <c r="U74" s="66"/>
      <c r="V74" s="66"/>
      <c r="W74" s="66"/>
      <c r="X74" s="66"/>
      <c r="Y74" s="66"/>
    </row>
    <row r="75" spans="1:25" ht="14.4" x14ac:dyDescent="0.3">
      <c r="A75" s="1" t="s">
        <v>72</v>
      </c>
      <c r="B75" s="255">
        <v>133901.41000000003</v>
      </c>
      <c r="C75" s="200">
        <v>260360.18</v>
      </c>
      <c r="D75" s="200">
        <v>260360.18</v>
      </c>
      <c r="E75" s="200">
        <v>257662.47000000003</v>
      </c>
      <c r="F75" s="86">
        <v>0.51967758439946654</v>
      </c>
      <c r="G75" s="270">
        <v>8584578</v>
      </c>
      <c r="H75" s="215">
        <v>5579975.7000000002</v>
      </c>
      <c r="I75" s="215">
        <v>3004602.2999999993</v>
      </c>
      <c r="J75" s="215">
        <v>15928440</v>
      </c>
      <c r="K75" s="215">
        <v>15847263</v>
      </c>
      <c r="L75" s="87">
        <v>0.54170729671111029</v>
      </c>
      <c r="M75" s="245"/>
      <c r="N75" s="233"/>
      <c r="O75" s="193"/>
      <c r="P75" s="193"/>
      <c r="Q75" s="66"/>
      <c r="R75" s="66"/>
      <c r="S75" s="66"/>
      <c r="T75" s="66"/>
      <c r="U75" s="66"/>
      <c r="V75" s="66"/>
      <c r="W75" s="66"/>
      <c r="X75" s="66"/>
      <c r="Y75" s="66"/>
    </row>
    <row r="76" spans="1:25" ht="14.4" x14ac:dyDescent="0.3">
      <c r="A76" s="1" t="s">
        <v>73</v>
      </c>
      <c r="B76" s="255">
        <v>518.97</v>
      </c>
      <c r="C76" s="200">
        <v>2895</v>
      </c>
      <c r="D76" s="200">
        <v>2895</v>
      </c>
      <c r="E76" s="200">
        <v>3335.2700000000004</v>
      </c>
      <c r="F76" s="86">
        <v>0.15560059605369278</v>
      </c>
      <c r="G76" s="270">
        <v>539653</v>
      </c>
      <c r="H76" s="215">
        <v>350774.45</v>
      </c>
      <c r="I76" s="215">
        <v>188878.55</v>
      </c>
      <c r="J76" s="215">
        <v>1737537</v>
      </c>
      <c r="K76" s="215">
        <v>2232689</v>
      </c>
      <c r="L76" s="87">
        <v>0.24170540545503649</v>
      </c>
      <c r="M76" s="245"/>
      <c r="N76" s="162"/>
      <c r="O76" s="66"/>
      <c r="P76" s="66"/>
      <c r="Q76" s="66"/>
      <c r="R76" s="66"/>
      <c r="S76" s="66"/>
      <c r="T76" s="66"/>
      <c r="U76" s="66"/>
      <c r="V76" s="66"/>
      <c r="W76" s="66"/>
      <c r="X76" s="66"/>
      <c r="Y76" s="66"/>
    </row>
    <row r="77" spans="1:25" ht="14.4" x14ac:dyDescent="0.3">
      <c r="A77" s="1" t="s">
        <v>74</v>
      </c>
      <c r="B77" s="255">
        <v>94.589999999999989</v>
      </c>
      <c r="C77" s="200">
        <v>226</v>
      </c>
      <c r="D77" s="200">
        <v>226</v>
      </c>
      <c r="E77" s="200">
        <v>262.36</v>
      </c>
      <c r="F77" s="86">
        <v>0.36053514255221825</v>
      </c>
      <c r="G77" s="270">
        <v>86865</v>
      </c>
      <c r="H77" s="215">
        <v>56462.25</v>
      </c>
      <c r="I77" s="215">
        <v>30402.75</v>
      </c>
      <c r="J77" s="215">
        <v>185700</v>
      </c>
      <c r="K77" s="215">
        <v>157269</v>
      </c>
      <c r="L77" s="87">
        <v>0.55233389924269882</v>
      </c>
      <c r="M77" s="245"/>
      <c r="N77" s="163"/>
      <c r="O77" s="66"/>
      <c r="P77" s="66"/>
      <c r="Q77" s="66"/>
      <c r="R77" s="66"/>
      <c r="S77" s="66"/>
      <c r="T77" s="66"/>
      <c r="U77" s="66"/>
      <c r="V77" s="66"/>
      <c r="W77" s="66"/>
      <c r="X77" s="66"/>
      <c r="Y77" s="66"/>
    </row>
    <row r="78" spans="1:25" ht="27" x14ac:dyDescent="0.3">
      <c r="A78" s="1" t="s">
        <v>75</v>
      </c>
      <c r="B78" s="255">
        <v>12487</v>
      </c>
      <c r="C78" s="200">
        <v>18516</v>
      </c>
      <c r="D78" s="200">
        <v>18516</v>
      </c>
      <c r="E78" s="200">
        <v>21799</v>
      </c>
      <c r="F78" s="86">
        <v>0.57282444148814171</v>
      </c>
      <c r="G78" s="270">
        <v>1928469</v>
      </c>
      <c r="H78" s="215">
        <v>1253504.8500000001</v>
      </c>
      <c r="I78" s="215">
        <v>674964.14999999991</v>
      </c>
      <c r="J78" s="215">
        <v>3349555</v>
      </c>
      <c r="K78" s="215">
        <v>4388325</v>
      </c>
      <c r="L78" s="87">
        <v>0.43945446155423767</v>
      </c>
      <c r="M78" s="245"/>
      <c r="N78" s="233"/>
      <c r="O78" s="193"/>
      <c r="P78" s="193"/>
      <c r="Q78" s="66"/>
      <c r="R78" s="66"/>
      <c r="S78" s="66"/>
      <c r="T78" s="66"/>
      <c r="U78" s="66"/>
      <c r="V78" s="66"/>
      <c r="W78" s="66"/>
      <c r="X78" s="66"/>
      <c r="Y78" s="66"/>
    </row>
    <row r="79" spans="1:25" ht="14.4" x14ac:dyDescent="0.3">
      <c r="A79" s="1" t="s">
        <v>31</v>
      </c>
      <c r="B79" s="255">
        <v>29413.745717800004</v>
      </c>
      <c r="C79" s="255">
        <v>47573.199970000001</v>
      </c>
      <c r="D79" s="255">
        <v>47573.199970000001</v>
      </c>
      <c r="E79" s="255">
        <v>63195.54617999999</v>
      </c>
      <c r="F79" s="86">
        <v>0.4654401693755566</v>
      </c>
      <c r="G79" s="270">
        <v>8387569</v>
      </c>
      <c r="H79" s="215">
        <v>5451919.8500000006</v>
      </c>
      <c r="I79" s="215">
        <v>2935649.15</v>
      </c>
      <c r="J79" s="215">
        <v>19587433</v>
      </c>
      <c r="K79" s="215">
        <v>21352954</v>
      </c>
      <c r="L79" s="87">
        <v>0.39280602580795143</v>
      </c>
      <c r="M79" s="245"/>
      <c r="N79" s="162"/>
      <c r="O79" s="66"/>
      <c r="P79" s="66"/>
      <c r="Q79" s="66"/>
      <c r="R79" s="66"/>
      <c r="S79" s="66"/>
      <c r="T79" s="66"/>
      <c r="U79" s="66"/>
      <c r="V79" s="66"/>
      <c r="W79" s="66"/>
      <c r="X79" s="66"/>
      <c r="Y79" s="66"/>
    </row>
    <row r="80" spans="1:25" ht="14.4" x14ac:dyDescent="0.3">
      <c r="A80" s="1" t="s">
        <v>76</v>
      </c>
      <c r="B80" s="255" t="s">
        <v>33</v>
      </c>
      <c r="C80" s="200" t="s">
        <v>33</v>
      </c>
      <c r="D80" s="200" t="s">
        <v>33</v>
      </c>
      <c r="E80" s="200" t="s">
        <v>33</v>
      </c>
      <c r="F80" s="86" t="s">
        <v>33</v>
      </c>
      <c r="G80" s="270">
        <v>234215</v>
      </c>
      <c r="H80" s="215">
        <v>11380159.050000001</v>
      </c>
      <c r="I80" s="215">
        <v>6127777.9499999993</v>
      </c>
      <c r="J80" s="215">
        <v>1898759</v>
      </c>
      <c r="K80" s="215">
        <v>1841648</v>
      </c>
      <c r="L80" s="87">
        <v>0.12717685464323258</v>
      </c>
      <c r="M80" s="245"/>
      <c r="N80" s="163"/>
      <c r="O80" s="66"/>
      <c r="P80" s="66"/>
      <c r="Q80" s="66"/>
      <c r="R80" s="66"/>
      <c r="S80" s="66"/>
      <c r="T80" s="66"/>
      <c r="U80" s="66"/>
      <c r="V80" s="66"/>
      <c r="W80" s="66"/>
      <c r="X80" s="66"/>
      <c r="Y80" s="66"/>
    </row>
    <row r="81" spans="1:25" ht="31.2" customHeight="1" x14ac:dyDescent="0.3">
      <c r="A81" s="2" t="s">
        <v>77</v>
      </c>
      <c r="B81" s="258">
        <v>423974.72702779999</v>
      </c>
      <c r="C81" s="202">
        <v>674656.58999320003</v>
      </c>
      <c r="D81" s="202">
        <v>674656.58999320003</v>
      </c>
      <c r="E81" s="202">
        <v>718996.25184520008</v>
      </c>
      <c r="F81" s="85">
        <v>0.58967585149398216</v>
      </c>
      <c r="G81" s="271">
        <v>65272554</v>
      </c>
      <c r="H81" s="216">
        <v>53655079.400000006</v>
      </c>
      <c r="I81" s="216">
        <v>28891196.599999994</v>
      </c>
      <c r="J81" s="216">
        <v>151949360</v>
      </c>
      <c r="K81" s="216">
        <v>155178552</v>
      </c>
      <c r="L81" s="190">
        <v>0.42062870904994654</v>
      </c>
      <c r="M81" s="245"/>
      <c r="N81" s="233"/>
      <c r="O81" s="193"/>
      <c r="P81" s="193"/>
      <c r="Q81" s="66"/>
      <c r="R81" s="66"/>
      <c r="S81" s="66"/>
      <c r="T81" s="66"/>
      <c r="U81" s="66"/>
      <c r="V81" s="66"/>
      <c r="W81" s="66"/>
      <c r="X81" s="66"/>
      <c r="Y81" s="66"/>
    </row>
    <row r="82" spans="1:25" ht="20.100000000000001" customHeight="1" x14ac:dyDescent="0.3">
      <c r="A82" s="259" t="s">
        <v>78</v>
      </c>
      <c r="B82" s="207"/>
      <c r="C82" s="207"/>
      <c r="D82" s="207"/>
      <c r="E82" s="207"/>
      <c r="F82" s="207"/>
      <c r="G82" s="207"/>
      <c r="H82" s="197"/>
      <c r="I82" s="197"/>
      <c r="J82" s="197"/>
      <c r="K82" s="197"/>
      <c r="L82" s="198"/>
      <c r="M82" s="245"/>
      <c r="N82" s="233"/>
      <c r="O82" s="193"/>
      <c r="P82" s="193"/>
      <c r="Q82" s="66"/>
      <c r="R82" s="66"/>
      <c r="S82" s="66"/>
      <c r="T82" s="66"/>
      <c r="U82" s="66"/>
      <c r="V82" s="66"/>
      <c r="W82" s="66"/>
      <c r="X82" s="66"/>
      <c r="Y82" s="66"/>
    </row>
    <row r="83" spans="1:25" ht="14.4" x14ac:dyDescent="0.3">
      <c r="A83" s="1" t="s">
        <v>79</v>
      </c>
      <c r="B83" s="262">
        <v>50031</v>
      </c>
      <c r="C83" s="204">
        <v>93451</v>
      </c>
      <c r="D83" s="203">
        <v>93451</v>
      </c>
      <c r="E83" s="264">
        <v>98600</v>
      </c>
      <c r="F83" s="87">
        <v>0.50741379310344825</v>
      </c>
      <c r="G83" s="272">
        <v>3101241</v>
      </c>
      <c r="H83" s="215">
        <v>2015806.6500000001</v>
      </c>
      <c r="I83" s="215">
        <v>1085434.3499999999</v>
      </c>
      <c r="J83" s="260">
        <v>6259880</v>
      </c>
      <c r="K83" s="260">
        <v>6208346</v>
      </c>
      <c r="L83" s="87">
        <v>0.49952773250717664</v>
      </c>
      <c r="M83" s="245"/>
      <c r="N83" s="162"/>
      <c r="O83" s="66"/>
      <c r="P83" s="66"/>
      <c r="Q83" s="66"/>
      <c r="R83" s="66"/>
      <c r="S83" s="66"/>
      <c r="T83" s="66"/>
      <c r="U83" s="66"/>
      <c r="V83" s="66"/>
      <c r="W83" s="66"/>
      <c r="X83" s="66"/>
      <c r="Y83" s="66"/>
    </row>
    <row r="84" spans="1:25" ht="27" x14ac:dyDescent="0.3">
      <c r="A84" s="1" t="s">
        <v>80</v>
      </c>
      <c r="B84" s="262">
        <v>441</v>
      </c>
      <c r="C84" s="204">
        <v>1706</v>
      </c>
      <c r="D84" s="203">
        <v>1706</v>
      </c>
      <c r="E84" s="264">
        <v>1703</v>
      </c>
      <c r="F84" s="87">
        <v>0.25895478567234292</v>
      </c>
      <c r="G84" s="272">
        <v>175295</v>
      </c>
      <c r="H84" s="215">
        <v>113941.75</v>
      </c>
      <c r="I84" s="215">
        <v>61353.25</v>
      </c>
      <c r="J84" s="260">
        <v>574086</v>
      </c>
      <c r="K84" s="260">
        <v>714604</v>
      </c>
      <c r="L84" s="87">
        <v>0.24530369267454422</v>
      </c>
      <c r="M84" s="245"/>
      <c r="N84" s="163"/>
      <c r="O84" s="66"/>
      <c r="P84" s="66"/>
      <c r="Q84" s="66"/>
      <c r="R84" s="66"/>
      <c r="S84" s="66"/>
      <c r="T84" s="66"/>
      <c r="U84" s="66"/>
      <c r="V84" s="66"/>
      <c r="W84" s="66"/>
      <c r="X84" s="66"/>
      <c r="Y84" s="66"/>
    </row>
    <row r="85" spans="1:25" ht="14.4" x14ac:dyDescent="0.3">
      <c r="A85" s="1" t="s">
        <v>81</v>
      </c>
      <c r="B85" s="262">
        <v>1258</v>
      </c>
      <c r="C85" s="204">
        <v>8200</v>
      </c>
      <c r="D85" s="203">
        <v>8200</v>
      </c>
      <c r="E85" s="264">
        <v>5825</v>
      </c>
      <c r="F85" s="87">
        <v>0.21596566523605151</v>
      </c>
      <c r="G85" s="272">
        <v>859140</v>
      </c>
      <c r="H85" s="215">
        <v>558441</v>
      </c>
      <c r="I85" s="215">
        <v>300699</v>
      </c>
      <c r="J85" s="260">
        <v>4107265</v>
      </c>
      <c r="K85" s="260">
        <v>3189175</v>
      </c>
      <c r="L85" s="87">
        <v>0.26939255450077215</v>
      </c>
      <c r="M85" s="245"/>
      <c r="N85" s="233"/>
      <c r="O85" s="193"/>
      <c r="P85" s="193"/>
      <c r="Q85" s="66"/>
      <c r="R85" s="66"/>
      <c r="S85" s="66"/>
      <c r="T85" s="66"/>
      <c r="U85" s="66"/>
      <c r="V85" s="66"/>
      <c r="W85" s="66"/>
      <c r="X85" s="66"/>
      <c r="Y85" s="66"/>
    </row>
    <row r="86" spans="1:25" ht="40.200000000000003" x14ac:dyDescent="0.3">
      <c r="A86" s="1" t="s">
        <v>82</v>
      </c>
      <c r="B86" s="262">
        <v>80363.12</v>
      </c>
      <c r="C86" s="204">
        <v>65483</v>
      </c>
      <c r="D86" s="203">
        <v>65483</v>
      </c>
      <c r="E86" s="264">
        <v>93092.69</v>
      </c>
      <c r="F86" s="87">
        <v>0.86325918823486558</v>
      </c>
      <c r="G86" s="272">
        <v>5460161</v>
      </c>
      <c r="H86" s="215">
        <v>3549104.65</v>
      </c>
      <c r="I86" s="215">
        <v>1911056.35</v>
      </c>
      <c r="J86" s="260">
        <v>12959483</v>
      </c>
      <c r="K86" s="260">
        <v>12944176</v>
      </c>
      <c r="L86" s="87">
        <v>0.42182376073996519</v>
      </c>
      <c r="M86" s="245"/>
      <c r="N86" s="181"/>
      <c r="O86" s="66"/>
      <c r="P86" s="66"/>
      <c r="Q86" s="66"/>
      <c r="R86" s="66"/>
      <c r="S86" s="66"/>
      <c r="T86" s="66"/>
      <c r="U86" s="66"/>
      <c r="V86" s="66"/>
      <c r="W86" s="66"/>
      <c r="X86" s="66"/>
      <c r="Y86" s="66"/>
    </row>
    <row r="87" spans="1:25" ht="14.4" x14ac:dyDescent="0.3">
      <c r="A87" s="1" t="s">
        <v>83</v>
      </c>
      <c r="B87" s="262">
        <v>2634.1299999999997</v>
      </c>
      <c r="C87" s="204">
        <v>4974</v>
      </c>
      <c r="D87" s="203">
        <v>4974</v>
      </c>
      <c r="E87" s="264">
        <v>3694.4999999999995</v>
      </c>
      <c r="F87" s="87">
        <v>0.71298687237785896</v>
      </c>
      <c r="G87" s="272">
        <v>651504</v>
      </c>
      <c r="H87" s="215">
        <v>423477.60000000003</v>
      </c>
      <c r="I87" s="215">
        <v>228026.39999999997</v>
      </c>
      <c r="J87" s="260">
        <v>924958</v>
      </c>
      <c r="K87" s="260">
        <v>924958</v>
      </c>
      <c r="L87" s="87">
        <v>0.70436063042862485</v>
      </c>
      <c r="M87" s="245"/>
      <c r="N87" s="192"/>
      <c r="O87" s="193"/>
      <c r="P87" s="193"/>
      <c r="Q87" s="66"/>
      <c r="R87" s="66"/>
      <c r="S87" s="66"/>
      <c r="T87" s="66"/>
      <c r="U87" s="66"/>
      <c r="V87" s="66"/>
      <c r="W87" s="66"/>
      <c r="X87" s="66"/>
      <c r="Y87" s="66"/>
    </row>
    <row r="88" spans="1:25" ht="14.4" x14ac:dyDescent="0.3">
      <c r="A88" s="1" t="s">
        <v>84</v>
      </c>
      <c r="B88" s="262">
        <v>94.589999999999989</v>
      </c>
      <c r="C88" s="204">
        <v>226</v>
      </c>
      <c r="D88" s="203">
        <v>226</v>
      </c>
      <c r="E88" s="264">
        <v>262.36</v>
      </c>
      <c r="F88" s="87">
        <v>0.36053514255221825</v>
      </c>
      <c r="G88" s="272">
        <v>86865</v>
      </c>
      <c r="H88" s="215">
        <v>56462.25</v>
      </c>
      <c r="I88" s="215">
        <v>30402.75</v>
      </c>
      <c r="J88" s="260">
        <v>185700</v>
      </c>
      <c r="K88" s="260">
        <v>157269</v>
      </c>
      <c r="L88" s="87">
        <v>0.55233389924269882</v>
      </c>
      <c r="M88" s="245"/>
      <c r="N88" s="181"/>
      <c r="O88" s="66"/>
      <c r="P88" s="66"/>
      <c r="Q88" s="66"/>
      <c r="R88" s="66"/>
      <c r="S88" s="66"/>
      <c r="T88" s="66"/>
      <c r="U88" s="66"/>
      <c r="V88" s="66"/>
      <c r="W88" s="66"/>
      <c r="X88" s="66"/>
      <c r="Y88" s="66"/>
    </row>
    <row r="89" spans="1:25" ht="27" x14ac:dyDescent="0.3">
      <c r="A89" s="1" t="s">
        <v>75</v>
      </c>
      <c r="B89" s="262">
        <v>12487</v>
      </c>
      <c r="C89" s="204">
        <v>18516</v>
      </c>
      <c r="D89" s="203">
        <v>18516</v>
      </c>
      <c r="E89" s="264">
        <v>21799</v>
      </c>
      <c r="F89" s="87">
        <v>0.57282444148814171</v>
      </c>
      <c r="G89" s="272">
        <v>1928469</v>
      </c>
      <c r="H89" s="215">
        <v>1253504.8500000001</v>
      </c>
      <c r="I89" s="215">
        <v>674964.14999999991</v>
      </c>
      <c r="J89" s="260">
        <v>3349555</v>
      </c>
      <c r="K89" s="260">
        <v>4388325</v>
      </c>
      <c r="L89" s="87">
        <v>0.43945446155423767</v>
      </c>
      <c r="M89" s="245"/>
      <c r="N89" s="163"/>
      <c r="O89" s="66"/>
      <c r="P89" s="66"/>
      <c r="Q89" s="113"/>
      <c r="R89" s="66"/>
      <c r="S89" s="66"/>
      <c r="T89" s="66"/>
      <c r="U89" s="66"/>
      <c r="V89" s="66"/>
      <c r="W89" s="66"/>
      <c r="X89" s="66"/>
      <c r="Y89" s="66"/>
    </row>
    <row r="90" spans="1:25" ht="14.4" x14ac:dyDescent="0.3">
      <c r="A90" s="1" t="s">
        <v>85</v>
      </c>
      <c r="B90" s="262" t="s">
        <v>33</v>
      </c>
      <c r="C90" s="248" t="s">
        <v>33</v>
      </c>
      <c r="D90" s="203" t="s">
        <v>33</v>
      </c>
      <c r="E90" s="264" t="s">
        <v>33</v>
      </c>
      <c r="F90" s="87" t="s">
        <v>33</v>
      </c>
      <c r="G90" s="272">
        <v>100924</v>
      </c>
      <c r="H90" s="215">
        <v>65600.600000000006</v>
      </c>
      <c r="I90" s="215">
        <v>35323.399999999994</v>
      </c>
      <c r="J90" s="260">
        <v>457500</v>
      </c>
      <c r="K90" s="260">
        <v>430137</v>
      </c>
      <c r="L90" s="87">
        <v>0.2346322218269993</v>
      </c>
      <c r="M90" s="245"/>
      <c r="N90" s="163"/>
      <c r="O90" s="66"/>
      <c r="P90" s="66"/>
      <c r="Q90" s="113"/>
      <c r="R90" s="66"/>
      <c r="S90" s="66"/>
      <c r="T90" s="66"/>
      <c r="U90" s="66"/>
      <c r="V90" s="66"/>
      <c r="W90" s="66"/>
      <c r="X90" s="66"/>
      <c r="Y90" s="66"/>
    </row>
    <row r="91" spans="1:25" ht="14.4" x14ac:dyDescent="0.3">
      <c r="A91" s="1" t="s">
        <v>86</v>
      </c>
      <c r="B91" s="262">
        <v>269.33994000000001</v>
      </c>
      <c r="C91" s="248">
        <v>152</v>
      </c>
      <c r="D91" s="203">
        <v>152</v>
      </c>
      <c r="E91" s="264">
        <v>413.41874999999999</v>
      </c>
      <c r="F91" s="87">
        <v>0.65149425370765124</v>
      </c>
      <c r="G91" s="261" t="s">
        <v>33</v>
      </c>
      <c r="H91" s="90" t="s">
        <v>33</v>
      </c>
      <c r="I91" s="90" t="s">
        <v>33</v>
      </c>
      <c r="J91" s="261" t="s">
        <v>33</v>
      </c>
      <c r="K91" s="261" t="s">
        <v>33</v>
      </c>
      <c r="L91" s="188" t="s">
        <v>33</v>
      </c>
      <c r="M91" s="245"/>
      <c r="N91" s="163"/>
      <c r="O91" s="66"/>
      <c r="P91" s="66"/>
      <c r="Q91" s="113"/>
      <c r="R91" s="66"/>
      <c r="S91" s="66"/>
      <c r="T91" s="66"/>
      <c r="U91" s="66"/>
      <c r="V91" s="66"/>
      <c r="W91" s="66"/>
      <c r="X91" s="66"/>
      <c r="Y91" s="66"/>
    </row>
    <row r="92" spans="1:25" ht="14.4" x14ac:dyDescent="0.3">
      <c r="A92" s="1" t="s">
        <v>87</v>
      </c>
      <c r="B92" s="262">
        <v>326.81736780000006</v>
      </c>
      <c r="C92" s="248">
        <v>1067</v>
      </c>
      <c r="D92" s="203">
        <v>1067</v>
      </c>
      <c r="E92" s="264">
        <v>1281.2472499999997</v>
      </c>
      <c r="F92" s="87">
        <v>0.25507751747369617</v>
      </c>
      <c r="G92" s="272">
        <v>228306</v>
      </c>
      <c r="H92" s="215">
        <v>148398.9</v>
      </c>
      <c r="I92" s="215">
        <v>79907.100000000006</v>
      </c>
      <c r="J92" s="260">
        <v>742800</v>
      </c>
      <c r="K92" s="260">
        <v>718531</v>
      </c>
      <c r="L92" s="87">
        <v>0.31773994441436765</v>
      </c>
      <c r="M92" s="245"/>
      <c r="N92" s="163"/>
      <c r="O92" s="66"/>
      <c r="P92" s="66"/>
      <c r="Q92" s="113"/>
      <c r="R92" s="66"/>
      <c r="S92" s="66"/>
      <c r="T92" s="66"/>
      <c r="U92" s="66"/>
      <c r="V92" s="66"/>
      <c r="W92" s="66"/>
      <c r="X92" s="66"/>
      <c r="Y92" s="66"/>
    </row>
    <row r="93" spans="1:25" ht="27" x14ac:dyDescent="0.3">
      <c r="A93" s="1" t="s">
        <v>88</v>
      </c>
      <c r="B93" s="262">
        <v>27263.962810000005</v>
      </c>
      <c r="C93" s="248">
        <v>32799</v>
      </c>
      <c r="D93" s="203">
        <v>32799</v>
      </c>
      <c r="E93" s="264">
        <v>48682.775179999997</v>
      </c>
      <c r="F93" s="87">
        <v>0.56003304473079152</v>
      </c>
      <c r="G93" s="272">
        <v>4782741</v>
      </c>
      <c r="H93" s="215">
        <v>3108781.65</v>
      </c>
      <c r="I93" s="215">
        <v>1673959.35</v>
      </c>
      <c r="J93" s="260">
        <v>6643062</v>
      </c>
      <c r="K93" s="260">
        <v>8861640</v>
      </c>
      <c r="L93" s="87">
        <v>0.53971285224856802</v>
      </c>
      <c r="M93" s="245"/>
      <c r="N93" s="163"/>
      <c r="O93" s="66"/>
      <c r="P93" s="66"/>
      <c r="Q93" s="113"/>
      <c r="R93" s="66"/>
      <c r="S93" s="66"/>
      <c r="T93" s="66"/>
      <c r="U93" s="66"/>
      <c r="V93" s="66"/>
      <c r="W93" s="66"/>
      <c r="X93" s="66"/>
      <c r="Y93" s="66"/>
    </row>
    <row r="94" spans="1:25" ht="20.100000000000001" customHeight="1" x14ac:dyDescent="0.3">
      <c r="A94" s="254" t="s">
        <v>89</v>
      </c>
      <c r="B94" s="206">
        <v>175168.96011779999</v>
      </c>
      <c r="C94" s="202">
        <v>226574</v>
      </c>
      <c r="D94" s="202">
        <v>226574</v>
      </c>
      <c r="E94" s="202">
        <v>275353.99118000001</v>
      </c>
      <c r="F94" s="85">
        <v>0.636159146875381</v>
      </c>
      <c r="G94" s="271">
        <v>17374646</v>
      </c>
      <c r="H94" s="216">
        <v>11293519.9</v>
      </c>
      <c r="I94" s="216">
        <v>6081126.0999999996</v>
      </c>
      <c r="J94" s="216">
        <v>36204289</v>
      </c>
      <c r="K94" s="216">
        <v>38537161</v>
      </c>
      <c r="L94" s="190">
        <v>0.45085433252335322</v>
      </c>
      <c r="M94" s="245"/>
      <c r="N94" s="165"/>
      <c r="O94" s="66"/>
      <c r="P94" s="66"/>
      <c r="Q94" s="66"/>
      <c r="R94" s="66"/>
      <c r="S94" s="66"/>
      <c r="T94" s="66"/>
      <c r="U94" s="66"/>
      <c r="V94" s="66"/>
      <c r="W94" s="66"/>
      <c r="X94" s="66"/>
      <c r="Y94" s="66"/>
    </row>
    <row r="95" spans="1:25" ht="20.100000000000001" customHeight="1" x14ac:dyDescent="0.3">
      <c r="A95" s="197" t="s">
        <v>90</v>
      </c>
      <c r="B95" s="207"/>
      <c r="C95" s="207"/>
      <c r="D95" s="207"/>
      <c r="E95" s="207"/>
      <c r="F95" s="207"/>
      <c r="G95" s="207"/>
      <c r="H95" s="197"/>
      <c r="I95" s="197"/>
      <c r="J95" s="197"/>
      <c r="K95" s="197"/>
      <c r="L95" s="198"/>
      <c r="M95" s="245"/>
      <c r="N95" s="66"/>
      <c r="O95" s="66"/>
      <c r="P95" s="66"/>
      <c r="Q95" s="66"/>
      <c r="R95" s="66"/>
      <c r="S95" s="66"/>
      <c r="T95" s="66"/>
      <c r="U95" s="66"/>
      <c r="V95" s="66"/>
      <c r="W95" s="66"/>
      <c r="X95" s="66"/>
      <c r="Y95" s="66"/>
    </row>
    <row r="96" spans="1:25" ht="43.95" customHeight="1" x14ac:dyDescent="0.3">
      <c r="A96" s="1" t="s">
        <v>91</v>
      </c>
      <c r="B96" s="262">
        <v>2009</v>
      </c>
      <c r="C96" s="262">
        <v>5095</v>
      </c>
      <c r="D96" s="209">
        <v>5095</v>
      </c>
      <c r="E96" s="264">
        <v>4077</v>
      </c>
      <c r="F96" s="89">
        <v>0.49276428746627421</v>
      </c>
      <c r="G96" s="272">
        <v>8104741</v>
      </c>
      <c r="H96" s="217">
        <v>5268081.6500000004</v>
      </c>
      <c r="I96" s="217">
        <v>2836659.3499999996</v>
      </c>
      <c r="J96" s="260">
        <v>27200000</v>
      </c>
      <c r="K96" s="260">
        <v>26986915</v>
      </c>
      <c r="L96" s="89">
        <v>0.30032113711404212</v>
      </c>
      <c r="M96" s="245"/>
      <c r="N96" s="164"/>
      <c r="O96" s="66"/>
      <c r="P96" s="66"/>
      <c r="Q96" s="66"/>
      <c r="R96" s="66"/>
      <c r="S96" s="66"/>
      <c r="T96" s="66"/>
      <c r="U96" s="66"/>
      <c r="V96" s="66"/>
      <c r="W96" s="66"/>
      <c r="X96" s="66"/>
      <c r="Y96" s="66"/>
    </row>
    <row r="97" spans="1:25" ht="27" x14ac:dyDescent="0.3">
      <c r="A97" s="1" t="s">
        <v>92</v>
      </c>
      <c r="B97" s="262">
        <v>5191</v>
      </c>
      <c r="C97" s="208">
        <v>7508</v>
      </c>
      <c r="D97" s="209">
        <v>7508</v>
      </c>
      <c r="E97" s="264">
        <v>8722</v>
      </c>
      <c r="F97" s="89">
        <v>0.59516166016968586</v>
      </c>
      <c r="G97" s="272">
        <v>2711180</v>
      </c>
      <c r="H97" s="217">
        <v>1762267</v>
      </c>
      <c r="I97" s="217">
        <v>948913</v>
      </c>
      <c r="J97" s="260">
        <v>4544926</v>
      </c>
      <c r="K97" s="260">
        <v>4642916</v>
      </c>
      <c r="L97" s="89">
        <v>0.58393905898792908</v>
      </c>
      <c r="M97" s="245"/>
      <c r="N97" s="163"/>
      <c r="O97" s="66"/>
      <c r="P97" s="66"/>
      <c r="Q97" s="66"/>
      <c r="R97" s="66"/>
      <c r="S97" s="66"/>
      <c r="T97" s="66"/>
      <c r="U97" s="66"/>
      <c r="V97" s="66"/>
      <c r="W97" s="66"/>
      <c r="X97" s="66"/>
      <c r="Y97" s="66"/>
    </row>
    <row r="98" spans="1:25" ht="14.4" x14ac:dyDescent="0.3">
      <c r="A98" s="1" t="s">
        <v>93</v>
      </c>
      <c r="B98" s="262">
        <v>12693</v>
      </c>
      <c r="C98" s="208">
        <v>23277</v>
      </c>
      <c r="D98" s="209">
        <v>23277</v>
      </c>
      <c r="E98" s="264">
        <v>25755</v>
      </c>
      <c r="F98" s="89">
        <v>0.49283634245777519</v>
      </c>
      <c r="G98" s="272">
        <v>13626942</v>
      </c>
      <c r="H98" s="217">
        <v>8857512.3000000007</v>
      </c>
      <c r="I98" s="217">
        <v>4769429.6999999993</v>
      </c>
      <c r="J98" s="260">
        <v>29349880</v>
      </c>
      <c r="K98" s="260">
        <v>30276146</v>
      </c>
      <c r="L98" s="89">
        <v>0.45008839632362718</v>
      </c>
      <c r="M98" s="245"/>
      <c r="N98" s="163"/>
      <c r="O98" s="66"/>
      <c r="P98" s="66"/>
      <c r="Q98" s="66"/>
      <c r="R98" s="66"/>
      <c r="S98" s="66"/>
      <c r="T98" s="66"/>
      <c r="U98" s="66"/>
      <c r="V98" s="66"/>
      <c r="W98" s="66"/>
      <c r="X98" s="66"/>
      <c r="Y98" s="66"/>
    </row>
    <row r="99" spans="1:25" ht="14.4" x14ac:dyDescent="0.3">
      <c r="A99" s="1" t="s">
        <v>94</v>
      </c>
      <c r="B99" s="262">
        <v>411</v>
      </c>
      <c r="C99" s="208">
        <v>2383</v>
      </c>
      <c r="D99" s="209">
        <v>2383</v>
      </c>
      <c r="E99" s="264">
        <v>2590</v>
      </c>
      <c r="F99" s="89">
        <v>0.15868725868725869</v>
      </c>
      <c r="G99" s="272">
        <v>587470</v>
      </c>
      <c r="H99" s="217">
        <v>381855.5</v>
      </c>
      <c r="I99" s="217">
        <v>205614.5</v>
      </c>
      <c r="J99" s="260">
        <v>1872189</v>
      </c>
      <c r="K99" s="260">
        <v>1998953</v>
      </c>
      <c r="L99" s="89">
        <v>0.29388885081340083</v>
      </c>
      <c r="M99" s="245"/>
      <c r="N99" s="163"/>
      <c r="O99" s="66"/>
      <c r="P99" s="66"/>
      <c r="Q99" s="66"/>
      <c r="R99" s="66"/>
      <c r="S99" s="66"/>
      <c r="T99" s="66"/>
      <c r="U99" s="66"/>
      <c r="V99" s="66"/>
      <c r="W99" s="66"/>
      <c r="X99" s="66"/>
      <c r="Y99" s="66"/>
    </row>
    <row r="100" spans="1:25" ht="14.4" x14ac:dyDescent="0.3">
      <c r="A100" s="83" t="s">
        <v>95</v>
      </c>
      <c r="B100" s="262">
        <v>95161.891310000006</v>
      </c>
      <c r="C100" s="208">
        <v>137983.21002319999</v>
      </c>
      <c r="D100" s="209">
        <v>137983.21002319999</v>
      </c>
      <c r="E100" s="264">
        <v>132376.91566520001</v>
      </c>
      <c r="F100" s="89">
        <v>0.71887073990058747</v>
      </c>
      <c r="G100" s="272">
        <v>10885035</v>
      </c>
      <c r="H100" s="217">
        <v>7075272.75</v>
      </c>
      <c r="I100" s="217">
        <v>3809762.25</v>
      </c>
      <c r="J100" s="260">
        <v>22394227</v>
      </c>
      <c r="K100" s="260">
        <v>22397173</v>
      </c>
      <c r="L100" s="89">
        <v>0.48600039835384584</v>
      </c>
      <c r="M100" s="245"/>
      <c r="N100" s="163"/>
      <c r="O100" s="66"/>
      <c r="P100" s="66"/>
      <c r="Q100" s="66"/>
      <c r="R100" s="66"/>
      <c r="S100" s="66"/>
      <c r="T100" s="66"/>
      <c r="U100" s="66"/>
      <c r="V100" s="66"/>
      <c r="W100" s="66"/>
      <c r="X100" s="66"/>
      <c r="Y100" s="66"/>
    </row>
    <row r="101" spans="1:25" ht="14.4" x14ac:dyDescent="0.3">
      <c r="A101" s="1" t="s">
        <v>96</v>
      </c>
      <c r="B101" s="262">
        <v>131267.28000000003</v>
      </c>
      <c r="C101" s="208">
        <v>255386.18</v>
      </c>
      <c r="D101" s="209">
        <v>255386.18</v>
      </c>
      <c r="E101" s="264">
        <v>253967.97000000003</v>
      </c>
      <c r="F101" s="89">
        <v>0.51686549292022932</v>
      </c>
      <c r="G101" s="272">
        <v>7933074</v>
      </c>
      <c r="H101" s="217">
        <v>5156498.1000000006</v>
      </c>
      <c r="I101" s="217">
        <v>2776575.8999999994</v>
      </c>
      <c r="J101" s="260">
        <v>15003482</v>
      </c>
      <c r="K101" s="260">
        <v>14922305</v>
      </c>
      <c r="L101" s="89">
        <v>0.53162524154277779</v>
      </c>
      <c r="M101" s="245"/>
      <c r="N101" s="163"/>
      <c r="O101" s="66"/>
      <c r="P101" s="66"/>
      <c r="Q101" s="66"/>
      <c r="R101" s="66"/>
      <c r="S101" s="66"/>
      <c r="T101" s="66"/>
      <c r="U101" s="66"/>
      <c r="V101" s="66"/>
      <c r="W101" s="66"/>
      <c r="X101" s="66"/>
      <c r="Y101" s="66"/>
    </row>
    <row r="102" spans="1:25" ht="14.4" x14ac:dyDescent="0.3">
      <c r="A102" s="1" t="s">
        <v>97</v>
      </c>
      <c r="B102" s="262">
        <v>518.97</v>
      </c>
      <c r="C102" s="208">
        <v>2895</v>
      </c>
      <c r="D102" s="209">
        <v>2895</v>
      </c>
      <c r="E102" s="264">
        <v>3335.2700000000004</v>
      </c>
      <c r="F102" s="89">
        <v>0.15560059605369278</v>
      </c>
      <c r="G102" s="272">
        <v>539653</v>
      </c>
      <c r="H102" s="217">
        <v>350774.45</v>
      </c>
      <c r="I102" s="217">
        <v>188878.55</v>
      </c>
      <c r="J102" s="260">
        <v>1737537</v>
      </c>
      <c r="K102" s="260">
        <v>2232689</v>
      </c>
      <c r="L102" s="89">
        <v>0.24170540545503649</v>
      </c>
      <c r="M102" s="245"/>
      <c r="N102" s="163"/>
      <c r="O102" s="66"/>
      <c r="P102" s="66"/>
      <c r="Q102" s="66"/>
      <c r="R102" s="66"/>
      <c r="S102" s="66"/>
      <c r="T102" s="66"/>
      <c r="U102" s="66"/>
      <c r="V102" s="66"/>
      <c r="W102" s="66"/>
      <c r="X102" s="66"/>
      <c r="Y102" s="66"/>
    </row>
    <row r="103" spans="1:25" ht="27" x14ac:dyDescent="0.3">
      <c r="A103" s="1" t="s">
        <v>98</v>
      </c>
      <c r="B103" s="262">
        <v>586.48749000000021</v>
      </c>
      <c r="C103" s="262">
        <v>8545.1999699999997</v>
      </c>
      <c r="D103" s="209">
        <v>8545.1999699999997</v>
      </c>
      <c r="E103" s="264">
        <v>8294.0873599999995</v>
      </c>
      <c r="F103" s="89">
        <v>7.0711515871952457E-2</v>
      </c>
      <c r="G103" s="272">
        <v>2741469</v>
      </c>
      <c r="H103" s="217">
        <v>1781954.85</v>
      </c>
      <c r="I103" s="217">
        <v>959514.14999999991</v>
      </c>
      <c r="J103" s="260">
        <v>9483013</v>
      </c>
      <c r="K103" s="260">
        <v>9479778</v>
      </c>
      <c r="L103" s="89">
        <v>0.28919126587141597</v>
      </c>
      <c r="M103" s="245"/>
      <c r="N103" s="163"/>
      <c r="O103" s="66"/>
      <c r="P103" s="66"/>
      <c r="Q103" s="66"/>
      <c r="R103" s="66"/>
      <c r="S103" s="66"/>
      <c r="T103" s="66"/>
      <c r="U103" s="66"/>
      <c r="V103" s="66"/>
      <c r="W103" s="66"/>
      <c r="X103" s="66"/>
      <c r="Y103" s="66"/>
    </row>
    <row r="104" spans="1:25" ht="27" x14ac:dyDescent="0.3">
      <c r="A104" s="1" t="s">
        <v>99</v>
      </c>
      <c r="B104" s="262">
        <v>967.1381100000001</v>
      </c>
      <c r="C104" s="208">
        <v>5010</v>
      </c>
      <c r="D104" s="209">
        <v>5010</v>
      </c>
      <c r="E104" s="264">
        <v>4524.01764</v>
      </c>
      <c r="F104" s="89">
        <v>0.2137785895105396</v>
      </c>
      <c r="G104" s="272">
        <v>635053</v>
      </c>
      <c r="H104" s="217">
        <v>412784.45</v>
      </c>
      <c r="I104" s="217">
        <v>222268.55</v>
      </c>
      <c r="J104" s="260">
        <v>2718558</v>
      </c>
      <c r="K104" s="260">
        <v>2293005</v>
      </c>
      <c r="L104" s="89">
        <v>0.27695229622264234</v>
      </c>
      <c r="M104" s="245"/>
      <c r="N104" s="163"/>
      <c r="O104" s="66"/>
      <c r="P104" s="66"/>
      <c r="Q104" s="66"/>
      <c r="R104" s="66"/>
      <c r="S104" s="66"/>
      <c r="T104" s="66"/>
      <c r="U104" s="66"/>
      <c r="V104" s="66"/>
      <c r="W104" s="66"/>
      <c r="X104" s="66"/>
      <c r="Y104" s="66"/>
    </row>
    <row r="105" spans="1:25" ht="14.4" x14ac:dyDescent="0.3">
      <c r="A105" s="1" t="s">
        <v>100</v>
      </c>
      <c r="B105" s="262" t="s">
        <v>33</v>
      </c>
      <c r="C105" s="262" t="s">
        <v>33</v>
      </c>
      <c r="D105" s="209" t="s">
        <v>33</v>
      </c>
      <c r="E105" s="264" t="s">
        <v>33</v>
      </c>
      <c r="F105" s="89" t="s">
        <v>33</v>
      </c>
      <c r="G105" s="272">
        <v>133291</v>
      </c>
      <c r="H105" s="217">
        <v>86639.150000000009</v>
      </c>
      <c r="I105" s="217">
        <v>46651.849999999991</v>
      </c>
      <c r="J105" s="260">
        <v>1441259</v>
      </c>
      <c r="K105" s="260">
        <v>1411511</v>
      </c>
      <c r="L105" s="89">
        <v>9.4431428447954005E-2</v>
      </c>
      <c r="M105" s="245"/>
      <c r="N105" s="163"/>
      <c r="O105" s="66"/>
      <c r="P105" s="66"/>
      <c r="Q105" s="66"/>
      <c r="R105" s="66"/>
      <c r="S105" s="66"/>
      <c r="T105" s="66"/>
      <c r="U105" s="66"/>
      <c r="V105" s="66"/>
      <c r="W105" s="66"/>
      <c r="X105" s="66"/>
      <c r="Y105" s="66"/>
    </row>
    <row r="106" spans="1:25" ht="20.100000000000001" customHeight="1" x14ac:dyDescent="0.3">
      <c r="A106" s="254" t="s">
        <v>101</v>
      </c>
      <c r="B106" s="210">
        <v>248805.76691000003</v>
      </c>
      <c r="C106" s="211">
        <v>448082.58999319997</v>
      </c>
      <c r="D106" s="211">
        <v>448082.58999319997</v>
      </c>
      <c r="E106" s="211">
        <v>443642.26066520007</v>
      </c>
      <c r="F106" s="91">
        <v>0.5608252165538492</v>
      </c>
      <c r="G106" s="271">
        <v>47897908</v>
      </c>
      <c r="H106" s="218">
        <v>31133640.200000003</v>
      </c>
      <c r="I106" s="218">
        <v>16764267.800000001</v>
      </c>
      <c r="J106" s="218">
        <v>115745071</v>
      </c>
      <c r="K106" s="218">
        <v>116641391</v>
      </c>
      <c r="L106" s="189">
        <v>0.41064246224567058</v>
      </c>
      <c r="M106" s="245"/>
      <c r="N106" s="166"/>
      <c r="O106" s="66"/>
      <c r="P106" s="66"/>
      <c r="Q106" s="66"/>
      <c r="R106" s="66"/>
      <c r="S106" s="66"/>
      <c r="T106" s="66"/>
      <c r="U106" s="66"/>
      <c r="V106" s="66"/>
      <c r="W106" s="66"/>
      <c r="X106" s="66"/>
      <c r="Y106" s="66"/>
    </row>
    <row r="107" spans="1:25" ht="20.100000000000001" customHeight="1" x14ac:dyDescent="0.3">
      <c r="A107" s="17" t="s">
        <v>102</v>
      </c>
      <c r="B107" s="212"/>
      <c r="C107" s="212"/>
      <c r="D107" s="212"/>
      <c r="E107" s="212"/>
      <c r="F107" s="212"/>
      <c r="G107" s="212"/>
      <c r="H107" s="17"/>
      <c r="I107" s="17"/>
      <c r="J107" s="17"/>
      <c r="K107" s="17"/>
      <c r="L107" s="223"/>
      <c r="M107" s="245"/>
      <c r="N107" s="66"/>
      <c r="O107" s="66"/>
      <c r="P107" s="66"/>
      <c r="Q107" s="66"/>
      <c r="R107" s="66"/>
      <c r="S107" s="66"/>
      <c r="T107" s="66"/>
      <c r="U107" s="66"/>
      <c r="V107" s="66"/>
      <c r="W107" s="66"/>
      <c r="X107" s="66"/>
      <c r="Y107" s="66"/>
    </row>
    <row r="108" spans="1:25" ht="14.4" x14ac:dyDescent="0.3">
      <c r="A108" s="65" t="s">
        <v>103</v>
      </c>
      <c r="B108" s="262">
        <v>0</v>
      </c>
      <c r="C108" s="262">
        <v>5000</v>
      </c>
      <c r="D108" s="213">
        <v>5000</v>
      </c>
      <c r="E108" s="262">
        <v>5000</v>
      </c>
      <c r="F108" s="89">
        <v>0</v>
      </c>
      <c r="G108" s="272">
        <v>2876223</v>
      </c>
      <c r="H108" s="219">
        <v>0</v>
      </c>
      <c r="I108" s="217">
        <v>2876223</v>
      </c>
      <c r="J108" s="260">
        <v>10316736</v>
      </c>
      <c r="K108" s="260">
        <v>9348304</v>
      </c>
      <c r="L108" s="89">
        <v>0.30767324211964009</v>
      </c>
      <c r="M108" s="245"/>
      <c r="N108" s="66"/>
      <c r="O108" s="66"/>
      <c r="P108" s="66"/>
      <c r="Q108" s="66"/>
      <c r="R108" s="66"/>
      <c r="S108" s="66"/>
      <c r="T108" s="66"/>
      <c r="U108" s="66"/>
      <c r="V108" s="66"/>
      <c r="W108" s="66"/>
      <c r="X108" s="66"/>
      <c r="Y108" s="66"/>
    </row>
    <row r="109" spans="1:25" ht="14.4" x14ac:dyDescent="0.3">
      <c r="A109" s="65" t="s">
        <v>104</v>
      </c>
      <c r="B109" s="262">
        <v>42812</v>
      </c>
      <c r="C109" s="253">
        <v>119063</v>
      </c>
      <c r="D109" s="213">
        <v>119063</v>
      </c>
      <c r="E109" s="264">
        <v>119063</v>
      </c>
      <c r="F109" s="89">
        <v>0.35957434299488505</v>
      </c>
      <c r="G109" s="261" t="s">
        <v>33</v>
      </c>
      <c r="H109" s="90" t="s">
        <v>33</v>
      </c>
      <c r="I109" s="90" t="s">
        <v>33</v>
      </c>
      <c r="J109" s="261" t="s">
        <v>33</v>
      </c>
      <c r="K109" s="261" t="s">
        <v>33</v>
      </c>
      <c r="L109" s="188" t="s">
        <v>33</v>
      </c>
      <c r="M109" s="245"/>
      <c r="N109" s="66"/>
      <c r="O109" s="66"/>
      <c r="P109" s="66"/>
      <c r="Q109" s="66"/>
      <c r="R109" s="66"/>
      <c r="S109" s="66"/>
      <c r="T109" s="66"/>
      <c r="U109" s="66"/>
      <c r="V109" s="66"/>
      <c r="W109" s="66"/>
      <c r="X109" s="66"/>
      <c r="Y109" s="66"/>
    </row>
    <row r="110" spans="1:25" ht="14.4" x14ac:dyDescent="0.3">
      <c r="A110" s="65" t="s">
        <v>105</v>
      </c>
      <c r="B110" s="263" t="s">
        <v>33</v>
      </c>
      <c r="C110" s="263" t="s">
        <v>33</v>
      </c>
      <c r="D110" s="90" t="s">
        <v>33</v>
      </c>
      <c r="E110" s="263" t="s">
        <v>33</v>
      </c>
      <c r="F110" s="90" t="s">
        <v>33</v>
      </c>
      <c r="G110" s="272">
        <v>2689</v>
      </c>
      <c r="H110" s="219">
        <v>0</v>
      </c>
      <c r="I110" s="219">
        <v>0</v>
      </c>
      <c r="J110" s="260">
        <v>102689</v>
      </c>
      <c r="K110" s="260">
        <v>102689</v>
      </c>
      <c r="L110" s="89">
        <v>2.618586216634693E-2</v>
      </c>
      <c r="M110" s="245"/>
      <c r="N110" s="66"/>
      <c r="O110" s="66"/>
      <c r="P110" s="66"/>
      <c r="Q110" s="66"/>
      <c r="R110" s="66"/>
      <c r="S110" s="66"/>
      <c r="T110" s="66"/>
      <c r="U110" s="66"/>
      <c r="V110" s="66"/>
      <c r="W110" s="66"/>
      <c r="X110" s="66"/>
      <c r="Y110" s="66"/>
    </row>
    <row r="111" spans="1:25" ht="25.2" x14ac:dyDescent="0.3">
      <c r="A111" s="35" t="s">
        <v>106</v>
      </c>
      <c r="B111" s="211">
        <v>42812</v>
      </c>
      <c r="C111" s="211">
        <v>124063</v>
      </c>
      <c r="D111" s="211">
        <v>124063</v>
      </c>
      <c r="E111" s="211">
        <v>124063</v>
      </c>
      <c r="F111" s="91">
        <v>0.34508274022069435</v>
      </c>
      <c r="G111" s="225">
        <v>2878912</v>
      </c>
      <c r="H111" s="225">
        <v>0</v>
      </c>
      <c r="I111" s="225">
        <v>2876223</v>
      </c>
      <c r="J111" s="225">
        <v>10419425</v>
      </c>
      <c r="K111" s="225">
        <v>9450993</v>
      </c>
      <c r="L111" s="189">
        <v>0.30461476376080271</v>
      </c>
      <c r="M111" s="245"/>
      <c r="N111" s="66"/>
      <c r="O111" s="66"/>
      <c r="P111" s="66"/>
      <c r="Q111" s="66"/>
      <c r="R111" s="66"/>
      <c r="S111" s="66"/>
      <c r="T111" s="66"/>
      <c r="U111" s="66"/>
      <c r="V111" s="66"/>
      <c r="W111" s="66"/>
      <c r="X111" s="66"/>
      <c r="Y111" s="66"/>
    </row>
    <row r="112" spans="1:25" ht="20.100000000000001" customHeight="1" x14ac:dyDescent="0.3">
      <c r="A112" s="35" t="s">
        <v>107</v>
      </c>
      <c r="B112" s="210">
        <v>183472</v>
      </c>
      <c r="C112" s="211">
        <v>182872</v>
      </c>
      <c r="D112" s="211">
        <v>182872</v>
      </c>
      <c r="E112" s="211">
        <v>183472</v>
      </c>
      <c r="F112" s="91">
        <v>1</v>
      </c>
      <c r="G112" s="225" t="s">
        <v>33</v>
      </c>
      <c r="H112" s="225" t="s">
        <v>33</v>
      </c>
      <c r="I112" s="225" t="s">
        <v>33</v>
      </c>
      <c r="J112" s="225" t="s">
        <v>33</v>
      </c>
      <c r="K112" s="225" t="s">
        <v>33</v>
      </c>
      <c r="L112" s="189" t="s">
        <v>33</v>
      </c>
      <c r="M112" s="245"/>
      <c r="N112" s="66"/>
      <c r="O112" s="66"/>
      <c r="P112" s="66"/>
      <c r="Q112" s="66"/>
      <c r="R112" s="66"/>
      <c r="S112" s="66"/>
      <c r="T112" s="66"/>
      <c r="U112" s="66"/>
      <c r="V112" s="66"/>
      <c r="W112" s="66"/>
      <c r="X112" s="66"/>
      <c r="Y112" s="66"/>
    </row>
    <row r="113" spans="1:25" ht="28.2" customHeight="1" x14ac:dyDescent="0.3">
      <c r="A113" s="35" t="s">
        <v>108</v>
      </c>
      <c r="B113" s="210">
        <v>0</v>
      </c>
      <c r="C113" s="210">
        <v>1035</v>
      </c>
      <c r="D113" s="211">
        <v>1035</v>
      </c>
      <c r="E113" s="211">
        <v>1035</v>
      </c>
      <c r="F113" s="91">
        <v>0</v>
      </c>
      <c r="G113" s="225" t="s">
        <v>33</v>
      </c>
      <c r="H113" s="225" t="s">
        <v>33</v>
      </c>
      <c r="I113" s="225" t="s">
        <v>33</v>
      </c>
      <c r="J113" s="225" t="s">
        <v>33</v>
      </c>
      <c r="K113" s="225" t="s">
        <v>33</v>
      </c>
      <c r="L113" s="189" t="s">
        <v>33</v>
      </c>
      <c r="M113" s="245"/>
      <c r="N113" s="66"/>
      <c r="O113" s="66"/>
      <c r="P113" s="66"/>
      <c r="Q113" s="66"/>
      <c r="R113" s="66"/>
      <c r="S113" s="66"/>
      <c r="T113" s="66"/>
      <c r="U113" s="66"/>
      <c r="V113" s="66"/>
      <c r="W113" s="66"/>
      <c r="X113" s="66"/>
      <c r="Y113" s="66"/>
    </row>
    <row r="114" spans="1:25" ht="20.100000000000001" customHeight="1" x14ac:dyDescent="0.3">
      <c r="A114" s="35" t="s">
        <v>109</v>
      </c>
      <c r="B114" s="210">
        <v>10282</v>
      </c>
      <c r="C114" s="210">
        <v>37770</v>
      </c>
      <c r="D114" s="211">
        <v>37770</v>
      </c>
      <c r="E114" s="211">
        <v>41128</v>
      </c>
      <c r="F114" s="91">
        <v>0.25</v>
      </c>
      <c r="G114" s="225" t="s">
        <v>33</v>
      </c>
      <c r="H114" s="225" t="s">
        <v>33</v>
      </c>
      <c r="I114" s="225" t="s">
        <v>33</v>
      </c>
      <c r="J114" s="225" t="s">
        <v>33</v>
      </c>
      <c r="K114" s="225" t="s">
        <v>33</v>
      </c>
      <c r="L114" s="189" t="s">
        <v>33</v>
      </c>
      <c r="M114" s="245"/>
      <c r="N114" s="113"/>
      <c r="O114" s="66"/>
      <c r="P114" s="66"/>
      <c r="Q114" s="66"/>
      <c r="R114" s="66"/>
      <c r="S114" s="66"/>
      <c r="T114" s="66"/>
      <c r="U114" s="66"/>
      <c r="V114" s="66"/>
      <c r="W114" s="66"/>
      <c r="X114" s="66"/>
      <c r="Y114" s="66"/>
    </row>
    <row r="115" spans="1:25" s="187" customFormat="1" ht="25.35" customHeight="1" x14ac:dyDescent="0.3">
      <c r="A115" s="185" t="s">
        <v>110</v>
      </c>
      <c r="B115" s="224">
        <v>938235.73702779994</v>
      </c>
      <c r="C115" s="224">
        <v>1777272.2980352</v>
      </c>
      <c r="D115" s="224">
        <v>1777272.2980352</v>
      </c>
      <c r="E115" s="224">
        <v>1867680.2618451999</v>
      </c>
      <c r="F115" s="183">
        <v>0.50235351103451575</v>
      </c>
      <c r="G115" s="226">
        <v>149301636</v>
      </c>
      <c r="H115" s="226">
        <v>90087008.050000012</v>
      </c>
      <c r="I115" s="226">
        <v>59211938.950000003</v>
      </c>
      <c r="J115" s="226">
        <v>397289270</v>
      </c>
      <c r="K115" s="226">
        <v>399647831</v>
      </c>
      <c r="L115" s="183">
        <v>0.3735830008795919</v>
      </c>
      <c r="M115" s="246"/>
      <c r="N115" s="186"/>
      <c r="O115" s="184"/>
      <c r="P115" s="184"/>
      <c r="Q115" s="184"/>
      <c r="R115" s="184"/>
      <c r="S115" s="184"/>
      <c r="T115" s="184"/>
      <c r="U115" s="184"/>
      <c r="V115" s="184"/>
      <c r="W115" s="184"/>
      <c r="X115" s="184"/>
      <c r="Y115" s="184"/>
    </row>
    <row r="116" spans="1:25" ht="22.5" customHeight="1" x14ac:dyDescent="0.3">
      <c r="A116" s="146"/>
      <c r="B116" s="147"/>
      <c r="C116" s="195"/>
      <c r="D116" s="148"/>
      <c r="E116" s="195"/>
      <c r="F116" s="149"/>
      <c r="G116" s="274"/>
      <c r="H116" s="151"/>
      <c r="I116" s="151"/>
      <c r="J116" s="150"/>
      <c r="K116" s="150"/>
      <c r="L116" s="152"/>
      <c r="M116" s="244"/>
      <c r="N116" s="153"/>
      <c r="O116" s="66"/>
      <c r="P116" s="66"/>
      <c r="Q116" s="66"/>
      <c r="R116" s="66"/>
      <c r="S116" s="66"/>
      <c r="T116" s="66"/>
      <c r="U116" s="66"/>
      <c r="V116" s="66"/>
      <c r="W116" s="66"/>
      <c r="X116" s="66"/>
      <c r="Y116" s="66"/>
    </row>
    <row r="117" spans="1:25" ht="22.5" customHeight="1" x14ac:dyDescent="0.3">
      <c r="A117" s="154"/>
      <c r="B117" s="154">
        <v>514583</v>
      </c>
      <c r="C117" s="169"/>
      <c r="D117" s="148"/>
      <c r="E117" s="155"/>
      <c r="F117" s="156"/>
      <c r="G117" s="275"/>
      <c r="H117" s="151"/>
      <c r="I117" s="151"/>
      <c r="J117" s="151"/>
      <c r="K117" s="151"/>
      <c r="L117" s="152"/>
      <c r="M117" s="244"/>
      <c r="N117" s="157"/>
      <c r="O117" s="66"/>
      <c r="P117" s="66"/>
      <c r="Q117" s="66"/>
      <c r="R117" s="66"/>
      <c r="S117" s="66"/>
      <c r="T117" s="66"/>
      <c r="U117" s="66"/>
      <c r="V117" s="66"/>
      <c r="W117" s="66"/>
      <c r="X117" s="66"/>
      <c r="Y117" s="66"/>
    </row>
    <row r="118" spans="1:25" ht="22.5" customHeight="1" x14ac:dyDescent="0.3">
      <c r="A118" s="147" t="s">
        <v>111</v>
      </c>
      <c r="B118" s="147"/>
      <c r="C118" s="194"/>
      <c r="D118" s="194"/>
      <c r="E118" s="66"/>
      <c r="F118" s="158"/>
      <c r="G118" s="105"/>
      <c r="H118" s="66"/>
      <c r="I118" s="66"/>
      <c r="J118" s="66"/>
      <c r="K118" s="105"/>
      <c r="L118" s="66"/>
      <c r="M118" s="244"/>
      <c r="N118" s="66"/>
      <c r="O118" s="66"/>
      <c r="P118" s="66"/>
      <c r="Q118" s="66"/>
      <c r="R118" s="66"/>
      <c r="S118" s="66"/>
      <c r="T118" s="66"/>
      <c r="U118" s="66"/>
      <c r="V118" s="66"/>
      <c r="W118" s="66"/>
      <c r="X118" s="66"/>
      <c r="Y118" s="66"/>
    </row>
    <row r="119" spans="1:25" ht="27.6" customHeight="1" x14ac:dyDescent="0.3">
      <c r="A119" s="279" t="s">
        <v>112</v>
      </c>
      <c r="B119" s="279"/>
      <c r="C119" s="279"/>
      <c r="D119" s="279"/>
      <c r="E119" s="279"/>
      <c r="F119" s="279"/>
      <c r="G119" s="279"/>
      <c r="H119" s="279"/>
      <c r="I119" s="279"/>
      <c r="J119" s="279"/>
      <c r="K119" s="279"/>
      <c r="L119" s="279"/>
      <c r="M119" s="244"/>
      <c r="N119" s="66"/>
      <c r="O119" s="66"/>
      <c r="P119" s="66"/>
      <c r="Q119" s="66"/>
      <c r="R119" s="66"/>
      <c r="S119" s="66"/>
      <c r="T119" s="66"/>
      <c r="U119" s="66"/>
      <c r="V119" s="66"/>
      <c r="W119" s="66"/>
      <c r="X119" s="66"/>
      <c r="Y119" s="66"/>
    </row>
    <row r="120" spans="1:25" ht="30.75" customHeight="1" x14ac:dyDescent="0.3">
      <c r="A120" s="279" t="s">
        <v>113</v>
      </c>
      <c r="B120" s="279"/>
      <c r="C120" s="279"/>
      <c r="D120" s="279"/>
      <c r="E120" s="279"/>
      <c r="F120" s="279"/>
      <c r="G120" s="279"/>
      <c r="H120" s="279"/>
      <c r="I120" s="279"/>
      <c r="J120" s="279"/>
      <c r="K120" s="279"/>
      <c r="L120" s="279"/>
      <c r="M120" s="244"/>
      <c r="N120" s="66"/>
      <c r="O120" s="66"/>
      <c r="P120" s="66"/>
      <c r="Q120" s="66"/>
      <c r="R120" s="66"/>
      <c r="S120" s="66"/>
      <c r="T120" s="66"/>
      <c r="U120" s="66"/>
      <c r="V120" s="66"/>
      <c r="W120" s="66"/>
      <c r="X120" s="66"/>
      <c r="Y120" s="66"/>
    </row>
    <row r="121" spans="1:25" ht="34.5" customHeight="1" x14ac:dyDescent="0.3">
      <c r="A121" s="279" t="s">
        <v>114</v>
      </c>
      <c r="B121" s="279"/>
      <c r="C121" s="279"/>
      <c r="D121" s="279"/>
      <c r="E121" s="279"/>
      <c r="F121" s="279"/>
      <c r="G121" s="279"/>
      <c r="H121" s="279"/>
      <c r="I121" s="279"/>
      <c r="J121" s="279"/>
      <c r="K121" s="279"/>
      <c r="L121" s="279"/>
      <c r="M121" s="244"/>
      <c r="N121" s="66"/>
      <c r="O121" s="66"/>
      <c r="P121" s="66"/>
      <c r="Q121" s="66"/>
      <c r="R121" s="66"/>
      <c r="S121" s="66"/>
      <c r="T121" s="66"/>
      <c r="U121" s="66"/>
      <c r="V121" s="66"/>
      <c r="W121" s="66"/>
      <c r="X121" s="66"/>
      <c r="Y121" s="66"/>
    </row>
    <row r="122" spans="1:25" ht="22.5" customHeight="1" x14ac:dyDescent="0.3">
      <c r="A122" s="287" t="s">
        <v>115</v>
      </c>
      <c r="B122" s="288"/>
      <c r="C122" s="288"/>
      <c r="D122" s="288"/>
      <c r="E122" s="288"/>
      <c r="F122" s="288"/>
      <c r="G122" s="288"/>
      <c r="H122" s="288"/>
      <c r="I122" s="288"/>
      <c r="J122" s="288"/>
      <c r="K122" s="288"/>
      <c r="L122" s="289"/>
      <c r="M122" s="244"/>
      <c r="N122" s="66"/>
      <c r="O122" s="66"/>
      <c r="P122" s="66"/>
      <c r="Q122" s="66"/>
      <c r="R122" s="66"/>
      <c r="S122" s="66"/>
      <c r="T122" s="66"/>
      <c r="U122" s="66"/>
      <c r="V122" s="66"/>
      <c r="W122" s="66"/>
      <c r="X122" s="66"/>
      <c r="Y122" s="66"/>
    </row>
    <row r="123" spans="1:25" ht="22.5" customHeight="1" x14ac:dyDescent="0.3">
      <c r="A123" s="276" t="s">
        <v>116</v>
      </c>
      <c r="B123" s="277"/>
      <c r="C123" s="277"/>
      <c r="D123" s="277"/>
      <c r="E123" s="277"/>
      <c r="F123" s="277"/>
      <c r="G123" s="277"/>
      <c r="H123" s="277"/>
      <c r="I123" s="277"/>
      <c r="J123" s="277"/>
      <c r="K123" s="277"/>
      <c r="L123" s="278"/>
      <c r="M123" s="244"/>
      <c r="N123" s="66"/>
      <c r="O123" s="66"/>
      <c r="P123" s="66"/>
      <c r="Q123" s="66"/>
      <c r="R123" s="66"/>
      <c r="S123" s="66"/>
      <c r="T123" s="66"/>
      <c r="U123" s="66"/>
      <c r="V123" s="66"/>
      <c r="W123" s="66"/>
      <c r="X123" s="66"/>
      <c r="Y123" s="66"/>
    </row>
    <row r="124" spans="1:25" ht="45" customHeight="1" x14ac:dyDescent="0.3">
      <c r="A124" s="276" t="s">
        <v>117</v>
      </c>
      <c r="B124" s="277"/>
      <c r="C124" s="277"/>
      <c r="D124" s="277"/>
      <c r="E124" s="277"/>
      <c r="F124" s="277"/>
      <c r="G124" s="277"/>
      <c r="H124" s="277"/>
      <c r="I124" s="277"/>
      <c r="J124" s="277"/>
      <c r="K124" s="277"/>
      <c r="L124" s="278"/>
      <c r="M124" s="244"/>
      <c r="N124" s="66"/>
      <c r="O124" s="66"/>
      <c r="P124" s="66"/>
      <c r="Q124" s="66"/>
      <c r="R124" s="66"/>
      <c r="S124" s="66"/>
      <c r="T124" s="66"/>
      <c r="U124" s="66"/>
      <c r="V124" s="66"/>
      <c r="W124" s="66"/>
      <c r="X124" s="66"/>
      <c r="Y124" s="66"/>
    </row>
    <row r="125" spans="1:25" ht="43.5" customHeight="1" x14ac:dyDescent="0.3">
      <c r="A125" s="66"/>
      <c r="B125" s="66"/>
      <c r="C125" s="66"/>
      <c r="D125" s="66"/>
      <c r="E125" s="66"/>
      <c r="F125" s="105"/>
      <c r="G125" s="105"/>
      <c r="H125" s="66"/>
      <c r="I125" s="66"/>
      <c r="J125" s="66"/>
      <c r="K125" s="66"/>
      <c r="L125" s="66"/>
      <c r="M125" s="244"/>
      <c r="N125" s="66"/>
      <c r="O125" s="66"/>
      <c r="P125" s="66"/>
      <c r="Q125" s="66"/>
      <c r="R125" s="66"/>
      <c r="S125" s="66"/>
      <c r="T125" s="66"/>
      <c r="U125" s="66"/>
      <c r="V125" s="66"/>
      <c r="W125" s="66"/>
      <c r="X125" s="66"/>
      <c r="Y125" s="66"/>
    </row>
    <row r="126" spans="1:25" ht="22.5" customHeight="1" x14ac:dyDescent="0.3">
      <c r="A126" s="66"/>
      <c r="B126" s="66"/>
      <c r="C126" s="66"/>
      <c r="D126" s="66"/>
      <c r="E126" s="66"/>
      <c r="F126" s="105"/>
      <c r="G126" s="105"/>
      <c r="H126" s="66"/>
      <c r="I126" s="66"/>
      <c r="J126" s="66"/>
      <c r="K126" s="66"/>
      <c r="L126" s="66"/>
      <c r="M126" s="244"/>
      <c r="N126" s="66"/>
      <c r="O126" s="66"/>
      <c r="P126" s="66"/>
      <c r="Q126" s="66"/>
      <c r="R126" s="66"/>
      <c r="S126" s="66"/>
      <c r="T126" s="66"/>
      <c r="U126" s="66"/>
      <c r="V126" s="66"/>
      <c r="W126" s="66"/>
      <c r="X126" s="66"/>
      <c r="Y126" s="66"/>
    </row>
    <row r="127" spans="1:25" ht="22.5" customHeight="1" x14ac:dyDescent="0.3">
      <c r="A127" s="66"/>
      <c r="B127" s="66"/>
      <c r="C127" s="66"/>
      <c r="D127" s="66"/>
      <c r="E127" s="66"/>
      <c r="F127" s="105"/>
      <c r="G127" s="105"/>
      <c r="H127" s="66"/>
      <c r="I127" s="66"/>
      <c r="J127" s="66"/>
      <c r="K127" s="66"/>
      <c r="L127" s="66"/>
      <c r="M127" s="244"/>
      <c r="N127" s="66"/>
      <c r="O127" s="66"/>
      <c r="P127" s="66"/>
      <c r="Q127" s="66"/>
      <c r="R127" s="66"/>
      <c r="S127" s="66"/>
      <c r="T127" s="66"/>
      <c r="U127" s="66"/>
      <c r="V127" s="66"/>
      <c r="W127" s="66"/>
      <c r="X127" s="66"/>
      <c r="Y127" s="66"/>
    </row>
    <row r="128" spans="1:25" ht="22.5" customHeight="1" x14ac:dyDescent="0.3">
      <c r="A128" s="66"/>
      <c r="B128" s="66"/>
      <c r="C128" s="66"/>
      <c r="D128" s="66"/>
      <c r="E128" s="66"/>
      <c r="F128" s="105"/>
      <c r="G128" s="105"/>
      <c r="H128" s="66"/>
      <c r="I128" s="66"/>
      <c r="J128" s="66"/>
      <c r="K128" s="66"/>
      <c r="L128" s="66"/>
      <c r="M128" s="244"/>
      <c r="N128" s="66"/>
      <c r="O128" s="66"/>
      <c r="P128" s="66"/>
      <c r="Q128" s="66"/>
      <c r="R128" s="66"/>
      <c r="S128" s="66"/>
      <c r="T128" s="66"/>
      <c r="U128" s="66"/>
      <c r="V128" s="66"/>
      <c r="W128" s="66"/>
      <c r="X128" s="66"/>
      <c r="Y128" s="66"/>
    </row>
    <row r="129" spans="1:25" ht="22.5" customHeight="1" x14ac:dyDescent="0.3">
      <c r="A129" s="66"/>
      <c r="B129" s="66"/>
      <c r="C129" s="66"/>
      <c r="D129" s="66"/>
      <c r="E129" s="66"/>
      <c r="F129" s="105"/>
      <c r="G129" s="105"/>
      <c r="H129" s="66"/>
      <c r="I129" s="66"/>
      <c r="J129" s="66"/>
      <c r="K129" s="66"/>
      <c r="L129" s="66"/>
      <c r="M129" s="244"/>
      <c r="N129" s="66"/>
      <c r="O129" s="66"/>
      <c r="P129" s="66"/>
      <c r="Q129" s="66"/>
      <c r="R129" s="66"/>
      <c r="S129" s="66"/>
      <c r="T129" s="66"/>
      <c r="U129" s="66"/>
      <c r="V129" s="66"/>
      <c r="W129" s="66"/>
      <c r="X129" s="66"/>
      <c r="Y129" s="66"/>
    </row>
    <row r="130" spans="1:25" ht="22.5" customHeight="1" x14ac:dyDescent="0.3">
      <c r="A130" s="66"/>
      <c r="B130" s="66"/>
      <c r="C130" s="66"/>
      <c r="D130" s="66"/>
      <c r="E130" s="66"/>
      <c r="F130" s="105"/>
      <c r="G130" s="105"/>
      <c r="H130" s="66"/>
      <c r="I130" s="66"/>
      <c r="J130" s="66"/>
      <c r="K130" s="66"/>
      <c r="L130" s="66"/>
      <c r="M130" s="244"/>
      <c r="N130" s="66"/>
      <c r="O130" s="66"/>
      <c r="P130" s="66"/>
      <c r="Q130" s="66"/>
      <c r="R130" s="66"/>
      <c r="S130" s="66"/>
      <c r="T130" s="66"/>
      <c r="U130" s="66"/>
      <c r="V130" s="66"/>
      <c r="W130" s="66"/>
      <c r="X130" s="66"/>
      <c r="Y130" s="66"/>
    </row>
    <row r="131" spans="1:25" ht="22.5" customHeight="1" x14ac:dyDescent="0.3">
      <c r="A131" s="66"/>
      <c r="B131" s="66"/>
      <c r="C131" s="66"/>
      <c r="D131" s="66"/>
      <c r="E131" s="66"/>
      <c r="F131" s="105"/>
      <c r="G131" s="105"/>
      <c r="H131" s="66"/>
      <c r="I131" s="66"/>
      <c r="J131" s="66"/>
      <c r="K131" s="66"/>
      <c r="L131" s="66"/>
      <c r="M131" s="244"/>
      <c r="N131" s="66"/>
      <c r="O131" s="66"/>
      <c r="P131" s="66"/>
      <c r="Q131" s="66"/>
      <c r="R131" s="66"/>
      <c r="S131" s="66"/>
      <c r="T131" s="66"/>
      <c r="U131" s="66"/>
      <c r="V131" s="66"/>
      <c r="W131" s="66"/>
      <c r="X131" s="66"/>
      <c r="Y131" s="66"/>
    </row>
    <row r="132" spans="1:25" ht="22.5" customHeight="1" x14ac:dyDescent="0.3">
      <c r="A132" s="66"/>
      <c r="B132" s="66"/>
      <c r="C132" s="66"/>
      <c r="D132" s="66"/>
      <c r="E132" s="66"/>
      <c r="F132" s="105"/>
      <c r="G132" s="105"/>
      <c r="H132" s="66"/>
      <c r="I132" s="66"/>
      <c r="J132" s="66"/>
      <c r="K132" s="66"/>
      <c r="L132" s="66"/>
      <c r="M132" s="244"/>
      <c r="N132" s="66"/>
      <c r="O132" s="66"/>
      <c r="P132" s="66"/>
      <c r="Q132" s="66"/>
      <c r="R132" s="66"/>
      <c r="S132" s="66"/>
      <c r="T132" s="66"/>
      <c r="U132" s="66"/>
      <c r="V132" s="66"/>
      <c r="W132" s="66"/>
      <c r="X132" s="66"/>
      <c r="Y132" s="66"/>
    </row>
    <row r="133" spans="1:25" ht="22.5" customHeight="1" x14ac:dyDescent="0.3">
      <c r="A133" s="66"/>
      <c r="B133" s="66"/>
      <c r="C133" s="66"/>
      <c r="D133" s="66"/>
      <c r="E133" s="66"/>
      <c r="F133" s="105"/>
      <c r="G133" s="105"/>
      <c r="H133" s="66"/>
      <c r="I133" s="66"/>
      <c r="J133" s="66"/>
      <c r="K133" s="66"/>
      <c r="L133" s="66"/>
      <c r="M133" s="244"/>
      <c r="N133" s="66"/>
      <c r="O133" s="66"/>
      <c r="P133" s="66"/>
      <c r="Q133" s="66"/>
      <c r="R133" s="66"/>
      <c r="S133" s="66"/>
      <c r="T133" s="66"/>
      <c r="U133" s="66"/>
      <c r="V133" s="66"/>
      <c r="W133" s="66"/>
      <c r="X133" s="66"/>
      <c r="Y133" s="66"/>
    </row>
    <row r="134" spans="1:25" ht="22.5" customHeight="1" x14ac:dyDescent="0.3">
      <c r="A134" s="66"/>
      <c r="B134" s="66"/>
      <c r="C134" s="66"/>
      <c r="D134" s="66"/>
      <c r="E134" s="66"/>
      <c r="F134" s="105"/>
      <c r="G134" s="105"/>
      <c r="H134" s="66"/>
      <c r="I134" s="66"/>
      <c r="J134" s="66"/>
      <c r="K134" s="66"/>
      <c r="L134" s="66"/>
      <c r="M134" s="244"/>
      <c r="N134" s="66"/>
      <c r="O134" s="66"/>
      <c r="P134" s="66"/>
      <c r="Q134" s="66"/>
      <c r="R134" s="66"/>
      <c r="S134" s="66"/>
      <c r="T134" s="66"/>
      <c r="U134" s="66"/>
      <c r="V134" s="66"/>
      <c r="W134" s="66"/>
      <c r="X134" s="66"/>
      <c r="Y134" s="66"/>
    </row>
    <row r="135" spans="1:25" ht="22.5" customHeight="1" x14ac:dyDescent="0.3">
      <c r="A135" s="66"/>
      <c r="B135" s="66"/>
      <c r="C135" s="66"/>
      <c r="D135" s="66"/>
      <c r="E135" s="66"/>
      <c r="F135" s="105"/>
      <c r="G135" s="105"/>
      <c r="H135" s="66"/>
      <c r="I135" s="66"/>
      <c r="J135" s="66"/>
      <c r="K135" s="66"/>
      <c r="L135" s="66"/>
      <c r="M135" s="244"/>
      <c r="N135" s="66"/>
      <c r="O135" s="66"/>
      <c r="P135" s="66"/>
      <c r="Q135" s="66"/>
      <c r="R135" s="66"/>
      <c r="S135" s="66"/>
      <c r="T135" s="66"/>
      <c r="U135" s="66"/>
      <c r="V135" s="66"/>
      <c r="W135" s="66"/>
      <c r="X135" s="66"/>
      <c r="Y135" s="66"/>
    </row>
  </sheetData>
  <mergeCells count="8">
    <mergeCell ref="A124:L124"/>
    <mergeCell ref="A123:L123"/>
    <mergeCell ref="A119:L119"/>
    <mergeCell ref="A121:L121"/>
    <mergeCell ref="A5:L6"/>
    <mergeCell ref="A8:L16"/>
    <mergeCell ref="A122:L122"/>
    <mergeCell ref="A120:L120"/>
  </mergeCells>
  <printOptions horizontalCentered="1" headings="1"/>
  <pageMargins left="1" right="1" top="1.25" bottom="0.5" header="0.5" footer="0.5"/>
  <pageSetup paperSize="17" scale="22" orientation="portrait" r:id="rId1"/>
  <headerFooter scaleWithDoc="0">
    <oddHeader>&amp;R&amp;"Arial,Bold"ICC Docket No. 17-0312
Statewide Quarterly Report ComEd 2019 Q4 
Tab: &amp;A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4.9989318521683403E-2"/>
    <pageSetUpPr fitToPage="1"/>
  </sheetPr>
  <dimension ref="A1:N246"/>
  <sheetViews>
    <sheetView workbookViewId="0">
      <selection activeCell="E27" sqref="E27"/>
    </sheetView>
  </sheetViews>
  <sheetFormatPr defaultColWidth="0" defaultRowHeight="14.4" x14ac:dyDescent="0.3"/>
  <cols>
    <col min="1" max="1" width="3.109375" customWidth="1"/>
    <col min="2" max="2" width="62.5546875" style="4" customWidth="1"/>
    <col min="3" max="3" width="21.109375" style="4" customWidth="1"/>
    <col min="4" max="4" width="19.5546875" customWidth="1"/>
    <col min="5" max="5" width="19.109375" customWidth="1"/>
    <col min="6" max="6" width="14.109375" bestFit="1" customWidth="1"/>
    <col min="7" max="7" width="16.88671875" customWidth="1"/>
    <col min="8" max="8" width="9.109375" customWidth="1"/>
    <col min="9" max="9" width="13.5546875" bestFit="1" customWidth="1"/>
    <col min="10" max="13" width="9.109375" customWidth="1"/>
    <col min="14" max="14" width="0" hidden="1" customWidth="1"/>
    <col min="15" max="16384" width="9.109375" hidden="1"/>
  </cols>
  <sheetData>
    <row r="1" spans="1:14" x14ac:dyDescent="0.3">
      <c r="A1" s="66"/>
      <c r="B1" s="73" t="s">
        <v>0</v>
      </c>
      <c r="C1" s="99"/>
      <c r="D1" s="66"/>
      <c r="E1" s="66"/>
      <c r="F1" s="66"/>
      <c r="G1" s="66"/>
      <c r="H1" s="66"/>
      <c r="I1" s="66"/>
      <c r="J1" s="66"/>
      <c r="K1" s="66"/>
      <c r="L1" s="66"/>
      <c r="M1" s="66"/>
    </row>
    <row r="2" spans="1:14" x14ac:dyDescent="0.3">
      <c r="A2" s="66"/>
      <c r="B2" s="73" t="s">
        <v>119</v>
      </c>
      <c r="C2" s="99"/>
      <c r="D2" s="66"/>
      <c r="E2" s="66"/>
      <c r="F2" s="66"/>
      <c r="G2" s="66"/>
      <c r="H2" s="66"/>
      <c r="I2" s="66"/>
      <c r="J2" s="66"/>
      <c r="K2" s="66"/>
      <c r="L2" s="66"/>
      <c r="M2" s="66"/>
    </row>
    <row r="3" spans="1:14" x14ac:dyDescent="0.3">
      <c r="A3" s="66"/>
      <c r="B3" s="73"/>
      <c r="C3" s="99"/>
      <c r="D3" s="66"/>
      <c r="E3" s="66"/>
      <c r="F3" s="66"/>
      <c r="G3" s="66"/>
      <c r="H3" s="66"/>
      <c r="I3" s="66"/>
      <c r="J3" s="66"/>
      <c r="K3" s="66"/>
      <c r="L3" s="66"/>
      <c r="M3" s="66"/>
    </row>
    <row r="4" spans="1:14" x14ac:dyDescent="0.3">
      <c r="A4" s="66"/>
      <c r="B4" s="73"/>
      <c r="C4" s="99"/>
      <c r="D4" s="66"/>
      <c r="E4" s="66"/>
      <c r="F4" s="66"/>
      <c r="G4" s="66"/>
      <c r="H4" s="66"/>
      <c r="I4" s="66"/>
      <c r="J4" s="66"/>
      <c r="K4" s="66"/>
      <c r="L4" s="66"/>
      <c r="M4" s="66"/>
    </row>
    <row r="5" spans="1:14" ht="37.5" customHeight="1" x14ac:dyDescent="0.3">
      <c r="A5" s="66"/>
      <c r="B5" s="294" t="s">
        <v>120</v>
      </c>
      <c r="C5" s="295"/>
      <c r="D5" s="295"/>
      <c r="E5" s="296"/>
      <c r="F5" s="66"/>
      <c r="G5" s="66"/>
      <c r="H5" s="66"/>
      <c r="I5" s="66"/>
      <c r="J5" s="66"/>
      <c r="K5" s="66"/>
      <c r="L5" s="66"/>
      <c r="M5" s="66"/>
    </row>
    <row r="6" spans="1:14" ht="37.5" customHeight="1" x14ac:dyDescent="0.3">
      <c r="A6" s="66"/>
      <c r="B6" s="297"/>
      <c r="C6" s="298"/>
      <c r="D6" s="298"/>
      <c r="E6" s="299"/>
      <c r="F6" s="66"/>
      <c r="G6" s="66"/>
      <c r="H6" s="66"/>
      <c r="I6" s="66"/>
      <c r="J6" s="66"/>
      <c r="K6" s="66"/>
      <c r="L6" s="66"/>
      <c r="M6" s="66"/>
    </row>
    <row r="7" spans="1:14" ht="18.75" customHeight="1" x14ac:dyDescent="0.3">
      <c r="A7" s="66"/>
      <c r="B7" s="300"/>
      <c r="C7" s="301"/>
      <c r="D7" s="301"/>
      <c r="E7" s="302"/>
      <c r="F7" s="66"/>
      <c r="G7" s="66"/>
      <c r="H7" s="66"/>
      <c r="I7" s="66"/>
      <c r="J7" s="66"/>
      <c r="K7" s="66"/>
      <c r="L7" s="66"/>
      <c r="M7" s="66"/>
    </row>
    <row r="8" spans="1:14" x14ac:dyDescent="0.3">
      <c r="A8" s="66"/>
      <c r="B8" s="99"/>
      <c r="C8" s="99"/>
      <c r="D8" s="66"/>
      <c r="E8" s="66"/>
      <c r="F8" s="66"/>
      <c r="G8" s="66"/>
      <c r="H8" s="66"/>
      <c r="I8" s="66"/>
      <c r="J8" s="66"/>
      <c r="K8" s="66"/>
      <c r="L8" s="66"/>
      <c r="M8" s="66"/>
    </row>
    <row r="9" spans="1:14" x14ac:dyDescent="0.3">
      <c r="A9" s="66"/>
      <c r="B9" s="73" t="s">
        <v>121</v>
      </c>
      <c r="C9" s="99"/>
      <c r="D9" s="66"/>
      <c r="E9" s="66"/>
      <c r="F9" s="66"/>
      <c r="G9" s="66"/>
      <c r="H9" s="66"/>
      <c r="I9" s="66"/>
      <c r="J9" s="66"/>
      <c r="K9" s="66"/>
      <c r="L9" s="66"/>
      <c r="M9" s="66"/>
    </row>
    <row r="10" spans="1:14" ht="20.100000000000001" customHeight="1" x14ac:dyDescent="0.3">
      <c r="A10" s="66"/>
      <c r="B10" s="232" t="s">
        <v>5</v>
      </c>
      <c r="C10" s="99"/>
      <c r="D10" s="66"/>
      <c r="E10" s="66"/>
      <c r="F10" s="66"/>
      <c r="G10" s="66"/>
      <c r="H10" s="66"/>
      <c r="I10" s="66"/>
      <c r="J10" s="66"/>
      <c r="K10" s="66"/>
      <c r="L10" s="66"/>
      <c r="M10" s="66"/>
    </row>
    <row r="11" spans="1:14" ht="32.85" customHeight="1" x14ac:dyDescent="0.3">
      <c r="A11" s="66"/>
      <c r="B11" s="24" t="s">
        <v>122</v>
      </c>
      <c r="C11" s="25" t="s">
        <v>123</v>
      </c>
      <c r="D11" s="122"/>
      <c r="E11" s="122"/>
      <c r="F11" s="66"/>
      <c r="G11" s="116"/>
      <c r="H11" s="66"/>
      <c r="I11" s="66"/>
      <c r="J11" s="66"/>
      <c r="K11" s="66"/>
      <c r="L11" s="66"/>
      <c r="M11" s="66"/>
    </row>
    <row r="12" spans="1:14" s="12" customFormat="1" ht="21" customHeight="1" x14ac:dyDescent="0.3">
      <c r="A12" s="71"/>
      <c r="B12" s="290" t="s">
        <v>124</v>
      </c>
      <c r="C12" s="291"/>
      <c r="D12" s="71"/>
      <c r="E12" s="71"/>
      <c r="F12" s="71"/>
      <c r="G12" s="71"/>
      <c r="H12" s="71"/>
      <c r="I12" s="71"/>
      <c r="J12" s="71"/>
      <c r="K12" s="71"/>
      <c r="L12" s="71"/>
      <c r="M12" s="71"/>
      <c r="N12" s="71"/>
    </row>
    <row r="13" spans="1:14" x14ac:dyDescent="0.3">
      <c r="A13" s="66"/>
      <c r="B13" s="6" t="s">
        <v>125</v>
      </c>
      <c r="C13" s="234">
        <v>69784809</v>
      </c>
      <c r="D13" s="66"/>
      <c r="E13" s="66"/>
      <c r="F13" s="66"/>
      <c r="G13" s="116"/>
      <c r="H13" s="66"/>
      <c r="I13" s="66"/>
      <c r="J13" s="66"/>
      <c r="K13" s="66"/>
      <c r="L13" s="66"/>
      <c r="M13" s="66"/>
      <c r="N13" s="66"/>
    </row>
    <row r="14" spans="1:14" x14ac:dyDescent="0.3">
      <c r="A14" s="66"/>
      <c r="B14" s="58" t="s">
        <v>126</v>
      </c>
      <c r="C14" s="235">
        <v>11365361</v>
      </c>
      <c r="D14" s="66"/>
      <c r="E14" s="66"/>
      <c r="F14" s="66"/>
      <c r="G14" s="116"/>
      <c r="H14" s="66"/>
      <c r="I14" s="66"/>
      <c r="J14" s="66"/>
      <c r="K14" s="66"/>
      <c r="L14" s="66"/>
      <c r="M14" s="66"/>
      <c r="N14" s="66"/>
    </row>
    <row r="15" spans="1:14" x14ac:dyDescent="0.3">
      <c r="A15" s="66"/>
      <c r="B15" s="6" t="s">
        <v>127</v>
      </c>
      <c r="C15" s="236">
        <v>17374646</v>
      </c>
      <c r="D15" s="66"/>
      <c r="E15" s="66"/>
      <c r="F15" s="66"/>
      <c r="G15" s="116"/>
      <c r="H15" s="66"/>
      <c r="I15" s="66"/>
      <c r="J15" s="66"/>
      <c r="K15" s="66"/>
      <c r="L15" s="66"/>
      <c r="M15" s="66"/>
      <c r="N15" s="66"/>
    </row>
    <row r="16" spans="1:14" x14ac:dyDescent="0.3">
      <c r="A16" s="66"/>
      <c r="B16" s="6" t="s">
        <v>90</v>
      </c>
      <c r="C16" s="237">
        <v>47897908</v>
      </c>
      <c r="D16" s="66"/>
      <c r="E16" s="66"/>
      <c r="F16" s="66"/>
      <c r="G16" s="66"/>
      <c r="H16" s="66"/>
      <c r="I16" s="66"/>
      <c r="J16" s="66"/>
      <c r="K16" s="66"/>
      <c r="L16" s="66"/>
      <c r="M16" s="66"/>
      <c r="N16" s="66"/>
    </row>
    <row r="17" spans="1:14" x14ac:dyDescent="0.3">
      <c r="A17" s="66"/>
      <c r="B17" s="6" t="s">
        <v>128</v>
      </c>
      <c r="C17" s="237">
        <v>0</v>
      </c>
      <c r="D17" s="66"/>
      <c r="E17" s="66"/>
      <c r="F17" s="66"/>
      <c r="G17" s="66"/>
      <c r="H17" s="66"/>
      <c r="I17" s="66"/>
      <c r="J17" s="66"/>
      <c r="K17" s="66"/>
      <c r="L17" s="66"/>
      <c r="M17" s="66"/>
      <c r="N17" s="66"/>
    </row>
    <row r="18" spans="1:14" hidden="1" x14ac:dyDescent="0.3">
      <c r="A18" s="66"/>
      <c r="B18" s="6" t="s">
        <v>129</v>
      </c>
      <c r="C18" s="26"/>
      <c r="D18" s="66"/>
      <c r="E18" s="113">
        <v>0</v>
      </c>
      <c r="F18" s="66"/>
      <c r="G18" s="66"/>
      <c r="H18" s="66"/>
      <c r="I18" s="66"/>
      <c r="J18" s="66"/>
      <c r="K18" s="66"/>
      <c r="L18" s="66"/>
      <c r="M18" s="66"/>
      <c r="N18" s="66"/>
    </row>
    <row r="19" spans="1:14" s="12" customFormat="1" ht="21" customHeight="1" x14ac:dyDescent="0.3">
      <c r="A19" s="71"/>
      <c r="B19" s="37" t="s">
        <v>130</v>
      </c>
      <c r="C19" s="38">
        <v>146422724</v>
      </c>
      <c r="D19" s="117"/>
      <c r="E19" s="71"/>
      <c r="F19" s="115"/>
      <c r="G19" s="71"/>
      <c r="H19" s="71"/>
      <c r="I19" s="71"/>
      <c r="J19" s="71"/>
      <c r="K19" s="71"/>
      <c r="L19" s="71"/>
      <c r="M19" s="71"/>
      <c r="N19" s="71"/>
    </row>
    <row r="20" spans="1:14" s="12" customFormat="1" ht="21" customHeight="1" x14ac:dyDescent="0.3">
      <c r="A20" s="71"/>
      <c r="B20" s="292" t="s">
        <v>131</v>
      </c>
      <c r="C20" s="293"/>
      <c r="D20" s="118"/>
      <c r="E20" s="119"/>
      <c r="F20" s="71"/>
      <c r="G20" s="71"/>
      <c r="H20" s="71"/>
      <c r="I20" s="71"/>
      <c r="J20" s="71"/>
      <c r="K20" s="71"/>
      <c r="L20" s="71"/>
      <c r="M20" s="71"/>
      <c r="N20" s="71"/>
    </row>
    <row r="21" spans="1:14" ht="29.85" customHeight="1" x14ac:dyDescent="0.3">
      <c r="A21" s="66"/>
      <c r="B21" s="27" t="s">
        <v>132</v>
      </c>
      <c r="C21" s="238">
        <v>2878912</v>
      </c>
      <c r="D21" s="118"/>
      <c r="E21" s="119"/>
      <c r="F21" s="71"/>
      <c r="G21" s="71"/>
      <c r="H21" s="66"/>
      <c r="I21" s="66"/>
      <c r="J21" s="66"/>
      <c r="K21" s="66"/>
      <c r="L21" s="66"/>
      <c r="M21" s="66"/>
      <c r="N21" s="66"/>
    </row>
    <row r="22" spans="1:14" x14ac:dyDescent="0.3">
      <c r="A22" s="66"/>
      <c r="B22" s="6" t="s">
        <v>118</v>
      </c>
      <c r="C22" s="238">
        <v>4739616</v>
      </c>
      <c r="D22" s="118"/>
      <c r="E22" s="119"/>
      <c r="F22" s="71"/>
      <c r="G22" s="71"/>
      <c r="H22" s="66"/>
      <c r="I22" s="66"/>
      <c r="J22" s="66"/>
      <c r="K22" s="66"/>
      <c r="L22" s="66"/>
      <c r="M22" s="66"/>
      <c r="N22" s="66"/>
    </row>
    <row r="23" spans="1:14" x14ac:dyDescent="0.3">
      <c r="A23" s="66"/>
      <c r="B23" s="28" t="s">
        <v>133</v>
      </c>
      <c r="C23" s="238">
        <v>2942156</v>
      </c>
      <c r="D23" s="118"/>
      <c r="E23" s="119"/>
      <c r="F23" s="71"/>
      <c r="G23" s="71"/>
      <c r="H23" s="66"/>
      <c r="I23" s="66"/>
      <c r="J23" s="66"/>
      <c r="K23" s="66"/>
      <c r="L23" s="66"/>
      <c r="M23" s="66"/>
      <c r="N23" s="66"/>
    </row>
    <row r="24" spans="1:14" x14ac:dyDescent="0.3">
      <c r="A24" s="66"/>
      <c r="B24" s="6" t="s">
        <v>134</v>
      </c>
      <c r="C24" s="238">
        <v>12908935</v>
      </c>
      <c r="D24" s="118"/>
      <c r="E24" s="119"/>
      <c r="F24" s="71"/>
      <c r="G24" s="71"/>
      <c r="H24" s="66"/>
      <c r="I24" s="113"/>
      <c r="J24" s="66"/>
      <c r="K24" s="66"/>
      <c r="L24" s="66"/>
      <c r="M24" s="66"/>
      <c r="N24" s="66"/>
    </row>
    <row r="25" spans="1:14" x14ac:dyDescent="0.3">
      <c r="A25" s="66"/>
      <c r="B25" s="6" t="s">
        <v>135</v>
      </c>
      <c r="C25" s="237">
        <v>0</v>
      </c>
      <c r="D25" s="118"/>
      <c r="E25" s="119"/>
      <c r="F25" s="71"/>
      <c r="G25" s="71"/>
      <c r="H25" s="66"/>
      <c r="I25" s="66"/>
      <c r="J25" s="66"/>
      <c r="K25" s="66"/>
      <c r="L25" s="66"/>
      <c r="M25" s="66"/>
      <c r="N25" s="66"/>
    </row>
    <row r="26" spans="1:14" s="12" customFormat="1" ht="21" customHeight="1" x14ac:dyDescent="0.3">
      <c r="A26" s="71"/>
      <c r="B26" s="37" t="s">
        <v>136</v>
      </c>
      <c r="C26" s="48">
        <v>23469619</v>
      </c>
      <c r="D26" s="118"/>
      <c r="E26" s="119"/>
      <c r="F26" s="71"/>
      <c r="G26" s="71"/>
      <c r="H26" s="71"/>
      <c r="I26" s="115"/>
      <c r="J26" s="71"/>
      <c r="K26" s="71"/>
      <c r="L26" s="71"/>
      <c r="M26" s="71"/>
      <c r="N26" s="71"/>
    </row>
    <row r="27" spans="1:14" s="12" customFormat="1" ht="32.85" customHeight="1" x14ac:dyDescent="0.3">
      <c r="A27" s="71"/>
      <c r="B27" s="40" t="s">
        <v>137</v>
      </c>
      <c r="C27" s="49">
        <v>169892343</v>
      </c>
      <c r="D27" s="182"/>
      <c r="E27" s="120"/>
      <c r="F27" s="115"/>
      <c r="G27" s="121"/>
      <c r="H27" s="71"/>
      <c r="I27" s="115"/>
      <c r="J27" s="71"/>
      <c r="K27" s="71"/>
      <c r="L27" s="71"/>
      <c r="M27" s="71"/>
      <c r="N27" s="71"/>
    </row>
    <row r="28" spans="1:14" x14ac:dyDescent="0.3">
      <c r="A28" s="66"/>
      <c r="B28" s="102"/>
      <c r="C28" s="102"/>
      <c r="D28" s="66"/>
      <c r="E28" s="120"/>
      <c r="F28" s="113"/>
      <c r="G28" s="66"/>
      <c r="H28" s="66"/>
      <c r="I28" s="66"/>
      <c r="J28" s="66"/>
      <c r="K28" s="66"/>
      <c r="L28" s="66"/>
      <c r="M28" s="66"/>
      <c r="N28" s="66"/>
    </row>
    <row r="29" spans="1:14" s="12" customFormat="1" ht="17.850000000000001" customHeight="1" x14ac:dyDescent="0.3">
      <c r="A29" s="71"/>
      <c r="B29" s="114"/>
      <c r="C29" s="114"/>
      <c r="D29" s="115"/>
      <c r="E29" s="115"/>
      <c r="F29" s="71"/>
      <c r="G29" s="71"/>
      <c r="H29" s="71"/>
      <c r="I29" s="71"/>
      <c r="J29" s="71"/>
      <c r="K29" s="71"/>
      <c r="L29" s="71"/>
      <c r="M29" s="71"/>
      <c r="N29" s="71"/>
    </row>
    <row r="30" spans="1:14" s="12" customFormat="1" ht="20.25" customHeight="1" x14ac:dyDescent="0.3">
      <c r="A30" s="71"/>
      <c r="B30" s="72" t="s">
        <v>324</v>
      </c>
      <c r="C30" s="114"/>
      <c r="D30" s="71"/>
      <c r="E30" s="71"/>
      <c r="F30" s="71"/>
      <c r="G30" s="71"/>
      <c r="H30" s="71"/>
      <c r="I30" s="71"/>
      <c r="J30" s="71"/>
      <c r="K30" s="71"/>
      <c r="L30" s="71"/>
      <c r="M30" s="71"/>
      <c r="N30" s="71"/>
    </row>
    <row r="31" spans="1:14" ht="36" customHeight="1" x14ac:dyDescent="0.3">
      <c r="A31" s="66"/>
      <c r="B31" s="25" t="s">
        <v>138</v>
      </c>
      <c r="C31" s="25" t="s">
        <v>139</v>
      </c>
      <c r="D31" s="25" t="s">
        <v>140</v>
      </c>
      <c r="E31" s="19" t="s">
        <v>17</v>
      </c>
      <c r="F31" s="66"/>
      <c r="G31" s="66"/>
      <c r="H31" s="66"/>
      <c r="I31" s="66"/>
      <c r="J31" s="66"/>
      <c r="K31" s="66"/>
      <c r="L31" s="66"/>
      <c r="M31" s="66"/>
      <c r="N31" s="66"/>
    </row>
    <row r="32" spans="1:14" s="12" customFormat="1" ht="35.85" customHeight="1" x14ac:dyDescent="0.3">
      <c r="A32" s="71"/>
      <c r="B32" s="39" t="s">
        <v>137</v>
      </c>
      <c r="C32" s="50">
        <v>169892343</v>
      </c>
      <c r="D32" s="50">
        <v>437772939</v>
      </c>
      <c r="E32" s="227">
        <v>0.38808324559321378</v>
      </c>
      <c r="F32" s="71"/>
      <c r="G32" s="71"/>
      <c r="H32" s="71"/>
      <c r="I32" s="71"/>
      <c r="J32" s="71"/>
      <c r="K32" s="71"/>
      <c r="L32" s="71"/>
      <c r="M32" s="71"/>
      <c r="N32" s="71"/>
    </row>
    <row r="33" spans="1:14" x14ac:dyDescent="0.3">
      <c r="A33" s="66"/>
      <c r="B33" s="99"/>
      <c r="C33" s="99"/>
      <c r="D33" s="66"/>
      <c r="E33" s="66"/>
      <c r="F33" s="66"/>
      <c r="G33" s="66"/>
      <c r="H33" s="66"/>
      <c r="I33" s="66"/>
      <c r="J33" s="66"/>
      <c r="K33" s="66"/>
      <c r="L33" s="66"/>
      <c r="M33" s="66"/>
      <c r="N33" s="66"/>
    </row>
    <row r="34" spans="1:14" x14ac:dyDescent="0.3">
      <c r="A34" s="66"/>
      <c r="B34" s="99"/>
      <c r="C34" s="123"/>
      <c r="D34" s="123"/>
      <c r="E34" s="66"/>
      <c r="F34" s="66"/>
      <c r="G34" s="66"/>
      <c r="H34" s="66"/>
      <c r="I34" s="66"/>
      <c r="J34" s="66"/>
      <c r="K34" s="66"/>
      <c r="L34" s="66"/>
      <c r="M34" s="66"/>
      <c r="N34" s="66"/>
    </row>
    <row r="35" spans="1:14" x14ac:dyDescent="0.3">
      <c r="A35" s="66"/>
      <c r="B35" s="99"/>
      <c r="C35" s="99"/>
      <c r="D35" s="66"/>
      <c r="E35" s="66"/>
      <c r="F35" s="66"/>
      <c r="G35" s="66"/>
      <c r="H35" s="66"/>
      <c r="I35" s="66"/>
      <c r="J35" s="66"/>
      <c r="K35" s="66"/>
      <c r="L35" s="66"/>
      <c r="M35" s="66"/>
      <c r="N35" s="66"/>
    </row>
    <row r="36" spans="1:14" x14ac:dyDescent="0.3">
      <c r="A36" s="66"/>
      <c r="B36" s="99"/>
      <c r="C36" s="99"/>
      <c r="D36" s="66"/>
      <c r="E36" s="66"/>
      <c r="F36" s="66"/>
      <c r="G36" s="66"/>
      <c r="H36" s="66"/>
      <c r="I36" s="66"/>
      <c r="J36" s="66"/>
      <c r="K36" s="66"/>
      <c r="L36" s="66"/>
      <c r="M36" s="66"/>
      <c r="N36" s="66"/>
    </row>
    <row r="37" spans="1:14" x14ac:dyDescent="0.3">
      <c r="A37" s="66"/>
      <c r="B37" s="99"/>
      <c r="C37" s="99"/>
      <c r="D37" s="66"/>
      <c r="E37" s="66"/>
      <c r="F37" s="66"/>
      <c r="G37" s="66"/>
      <c r="H37" s="66"/>
      <c r="I37" s="66"/>
      <c r="J37" s="66"/>
      <c r="K37" s="66"/>
      <c r="L37" s="66"/>
      <c r="M37" s="66"/>
      <c r="N37" s="66"/>
    </row>
    <row r="38" spans="1:14" x14ac:dyDescent="0.3">
      <c r="A38" s="66"/>
      <c r="B38" s="99"/>
      <c r="C38" s="99"/>
      <c r="D38" s="66"/>
      <c r="E38" s="66"/>
      <c r="F38" s="66"/>
      <c r="G38" s="66"/>
      <c r="H38" s="66"/>
      <c r="I38" s="66"/>
      <c r="J38" s="66"/>
      <c r="K38" s="66"/>
      <c r="L38" s="66"/>
      <c r="M38" s="66"/>
      <c r="N38" s="66"/>
    </row>
    <row r="39" spans="1:14" x14ac:dyDescent="0.3">
      <c r="A39" s="66"/>
      <c r="B39" s="99"/>
      <c r="C39" s="99"/>
      <c r="D39" s="66"/>
      <c r="E39" s="66"/>
      <c r="F39" s="66"/>
      <c r="G39" s="66"/>
      <c r="H39" s="66"/>
      <c r="I39" s="66"/>
      <c r="J39" s="66"/>
      <c r="K39" s="66"/>
      <c r="L39" s="66"/>
      <c r="M39" s="66"/>
      <c r="N39" s="66"/>
    </row>
    <row r="40" spans="1:14" x14ac:dyDescent="0.3">
      <c r="A40" s="66"/>
      <c r="B40" s="99"/>
      <c r="C40" s="99"/>
      <c r="D40" s="66"/>
      <c r="E40" s="66"/>
      <c r="F40" s="66"/>
      <c r="G40" s="66"/>
      <c r="H40" s="66"/>
      <c r="I40" s="66"/>
      <c r="J40" s="66"/>
      <c r="K40" s="66"/>
      <c r="L40" s="66"/>
      <c r="M40" s="66"/>
      <c r="N40" s="66"/>
    </row>
    <row r="41" spans="1:14" x14ac:dyDescent="0.3">
      <c r="A41" s="66"/>
      <c r="B41" s="99"/>
      <c r="C41" s="99"/>
      <c r="D41" s="66"/>
      <c r="E41" s="66"/>
      <c r="F41" s="66"/>
      <c r="G41" s="66"/>
      <c r="H41" s="66"/>
      <c r="I41" s="66"/>
      <c r="J41" s="66"/>
      <c r="K41" s="66"/>
      <c r="L41" s="66"/>
      <c r="M41" s="66"/>
      <c r="N41" s="66"/>
    </row>
    <row r="42" spans="1:14" x14ac:dyDescent="0.3">
      <c r="A42" s="66"/>
      <c r="B42" s="99"/>
      <c r="C42" s="99"/>
      <c r="D42" s="66"/>
      <c r="E42" s="66"/>
      <c r="F42" s="66"/>
      <c r="G42" s="66"/>
      <c r="H42" s="66"/>
      <c r="I42" s="66"/>
      <c r="J42" s="66"/>
      <c r="K42" s="66"/>
      <c r="L42" s="66"/>
      <c r="M42" s="66"/>
      <c r="N42" s="66"/>
    </row>
    <row r="43" spans="1:14" x14ac:dyDescent="0.3">
      <c r="A43" s="66"/>
      <c r="B43" s="99"/>
      <c r="C43" s="99"/>
      <c r="D43" s="66"/>
      <c r="E43" s="66"/>
      <c r="F43" s="66"/>
      <c r="G43" s="66"/>
      <c r="H43" s="66"/>
      <c r="I43" s="66"/>
      <c r="J43" s="66"/>
      <c r="K43" s="66"/>
      <c r="L43" s="66"/>
      <c r="M43" s="66"/>
      <c r="N43" s="66"/>
    </row>
    <row r="44" spans="1:14" x14ac:dyDescent="0.3">
      <c r="A44" s="66"/>
      <c r="B44" s="99"/>
      <c r="C44" s="99"/>
      <c r="D44" s="66"/>
      <c r="E44" s="66"/>
      <c r="F44" s="66"/>
      <c r="G44" s="66"/>
      <c r="H44" s="66"/>
      <c r="I44" s="66"/>
      <c r="J44" s="66"/>
      <c r="K44" s="66"/>
      <c r="L44" s="66"/>
      <c r="M44" s="66"/>
      <c r="N44" s="66"/>
    </row>
    <row r="45" spans="1:14" x14ac:dyDescent="0.3">
      <c r="A45" s="66"/>
      <c r="B45" s="99"/>
      <c r="C45" s="99"/>
      <c r="D45" s="66"/>
      <c r="E45" s="66"/>
      <c r="F45" s="66"/>
      <c r="G45" s="66"/>
      <c r="H45" s="66"/>
      <c r="I45" s="66"/>
      <c r="J45" s="66"/>
      <c r="K45" s="66"/>
      <c r="L45" s="66"/>
      <c r="M45" s="66"/>
      <c r="N45" s="66"/>
    </row>
    <row r="46" spans="1:14" x14ac:dyDescent="0.3">
      <c r="A46" s="66"/>
      <c r="B46" s="99"/>
      <c r="C46" s="99"/>
      <c r="D46" s="66"/>
      <c r="E46" s="66"/>
      <c r="F46" s="66"/>
      <c r="G46" s="66"/>
      <c r="H46" s="66"/>
      <c r="I46" s="66"/>
      <c r="J46" s="66"/>
      <c r="K46" s="66"/>
      <c r="L46" s="66"/>
      <c r="M46" s="66"/>
      <c r="N46" s="66"/>
    </row>
    <row r="47" spans="1:14" x14ac:dyDescent="0.3">
      <c r="A47" s="66"/>
      <c r="B47" s="99"/>
      <c r="C47" s="99"/>
      <c r="D47" s="66"/>
      <c r="E47" s="66"/>
      <c r="F47" s="66"/>
      <c r="G47" s="66"/>
      <c r="H47" s="66"/>
      <c r="I47" s="66"/>
      <c r="J47" s="66"/>
      <c r="K47" s="66"/>
      <c r="L47" s="66"/>
      <c r="M47" s="66"/>
      <c r="N47" s="66"/>
    </row>
    <row r="48" spans="1:14" x14ac:dyDescent="0.3">
      <c r="A48" s="66"/>
      <c r="B48" s="99"/>
      <c r="C48" s="99"/>
      <c r="D48" s="66"/>
      <c r="E48" s="66"/>
      <c r="F48" s="66"/>
      <c r="G48" s="66"/>
      <c r="H48" s="66"/>
      <c r="I48" s="66"/>
      <c r="J48" s="66"/>
      <c r="K48" s="66"/>
      <c r="L48" s="66"/>
      <c r="M48" s="66"/>
      <c r="N48" s="66"/>
    </row>
    <row r="49" spans="1:14" x14ac:dyDescent="0.3">
      <c r="A49" s="66"/>
      <c r="B49" s="99"/>
      <c r="C49" s="99"/>
      <c r="D49" s="66"/>
      <c r="E49" s="66"/>
      <c r="F49" s="66"/>
      <c r="G49" s="66"/>
      <c r="H49" s="66"/>
      <c r="I49" s="66"/>
      <c r="J49" s="66"/>
      <c r="K49" s="66"/>
      <c r="L49" s="66"/>
      <c r="M49" s="66"/>
      <c r="N49" s="66"/>
    </row>
    <row r="50" spans="1:14" x14ac:dyDescent="0.3">
      <c r="A50" s="66"/>
      <c r="B50" s="99"/>
      <c r="C50" s="99"/>
      <c r="D50" s="66"/>
      <c r="E50" s="66"/>
      <c r="F50" s="66"/>
      <c r="G50" s="66"/>
      <c r="H50" s="66"/>
      <c r="I50" s="66"/>
      <c r="J50" s="66"/>
      <c r="K50" s="66"/>
      <c r="L50" s="66"/>
      <c r="M50" s="66"/>
      <c r="N50" s="66"/>
    </row>
    <row r="51" spans="1:14" x14ac:dyDescent="0.3">
      <c r="A51" s="66"/>
      <c r="B51" s="99"/>
      <c r="C51" s="99"/>
      <c r="D51" s="66"/>
      <c r="E51" s="66"/>
      <c r="F51" s="66"/>
      <c r="G51" s="66"/>
      <c r="H51" s="66"/>
      <c r="I51" s="66"/>
      <c r="J51" s="66"/>
      <c r="K51" s="66"/>
      <c r="L51" s="66"/>
      <c r="M51" s="66"/>
      <c r="N51" s="66"/>
    </row>
    <row r="52" spans="1:14" x14ac:dyDescent="0.3">
      <c r="A52" s="66"/>
      <c r="B52" s="99"/>
      <c r="C52" s="99"/>
      <c r="D52" s="66"/>
      <c r="E52" s="66"/>
      <c r="F52" s="66"/>
      <c r="G52" s="66"/>
      <c r="H52" s="66"/>
      <c r="I52" s="66"/>
      <c r="J52" s="66"/>
      <c r="K52" s="66"/>
      <c r="L52" s="66"/>
      <c r="M52" s="66"/>
      <c r="N52" s="66"/>
    </row>
    <row r="53" spans="1:14" x14ac:dyDescent="0.3">
      <c r="A53" s="66"/>
      <c r="B53" s="99"/>
      <c r="C53" s="99"/>
      <c r="D53" s="66"/>
      <c r="E53" s="66"/>
      <c r="F53" s="66"/>
      <c r="G53" s="66"/>
      <c r="H53" s="66"/>
      <c r="I53" s="66"/>
      <c r="J53" s="66"/>
      <c r="K53" s="66"/>
      <c r="L53" s="66"/>
      <c r="M53" s="66"/>
      <c r="N53" s="66"/>
    </row>
    <row r="54" spans="1:14" x14ac:dyDescent="0.3">
      <c r="A54" s="66"/>
      <c r="B54" s="99"/>
      <c r="C54" s="99"/>
      <c r="D54" s="66"/>
      <c r="E54" s="66"/>
      <c r="F54" s="66"/>
      <c r="G54" s="66"/>
      <c r="H54" s="66"/>
      <c r="I54" s="66"/>
      <c r="J54" s="66"/>
      <c r="K54" s="66"/>
      <c r="L54" s="66"/>
      <c r="M54" s="66"/>
      <c r="N54" s="66"/>
    </row>
    <row r="55" spans="1:14" x14ac:dyDescent="0.3">
      <c r="A55" s="66"/>
      <c r="B55" s="99"/>
      <c r="C55" s="99"/>
      <c r="D55" s="66"/>
      <c r="E55" s="66"/>
      <c r="F55" s="66"/>
      <c r="G55" s="66"/>
      <c r="H55" s="66"/>
      <c r="I55" s="66"/>
      <c r="J55" s="66"/>
      <c r="K55" s="66"/>
      <c r="L55" s="66"/>
      <c r="M55" s="66"/>
      <c r="N55" s="66"/>
    </row>
    <row r="56" spans="1:14" x14ac:dyDescent="0.3">
      <c r="A56" s="66"/>
      <c r="B56" s="99"/>
      <c r="C56" s="99"/>
      <c r="D56" s="66"/>
      <c r="E56" s="66"/>
      <c r="F56" s="66"/>
      <c r="G56" s="66"/>
      <c r="H56" s="66"/>
      <c r="I56" s="66"/>
      <c r="J56" s="66"/>
      <c r="K56" s="66"/>
      <c r="L56" s="66"/>
      <c r="M56" s="66"/>
      <c r="N56" s="66"/>
    </row>
    <row r="57" spans="1:14" x14ac:dyDescent="0.3">
      <c r="A57" s="66"/>
      <c r="B57" s="99"/>
      <c r="C57" s="99"/>
      <c r="D57" s="66"/>
      <c r="E57" s="66"/>
      <c r="F57" s="66"/>
      <c r="G57" s="66"/>
      <c r="H57" s="66"/>
      <c r="I57" s="66"/>
      <c r="J57" s="66"/>
      <c r="K57" s="66"/>
      <c r="L57" s="66"/>
      <c r="M57" s="66"/>
      <c r="N57" s="66"/>
    </row>
    <row r="58" spans="1:14" x14ac:dyDescent="0.3">
      <c r="A58" s="66"/>
      <c r="B58" s="99"/>
      <c r="C58" s="99"/>
      <c r="D58" s="66"/>
      <c r="E58" s="66"/>
      <c r="F58" s="66"/>
      <c r="G58" s="66"/>
      <c r="H58" s="66"/>
      <c r="I58" s="66"/>
      <c r="J58" s="66"/>
      <c r="K58" s="66"/>
      <c r="L58" s="66"/>
      <c r="M58" s="66"/>
      <c r="N58" s="66"/>
    </row>
    <row r="59" spans="1:14" x14ac:dyDescent="0.3">
      <c r="A59" s="66"/>
      <c r="B59" s="99"/>
      <c r="C59" s="99"/>
      <c r="D59" s="66"/>
      <c r="E59" s="66"/>
      <c r="F59" s="66"/>
      <c r="G59" s="66"/>
      <c r="H59" s="66"/>
      <c r="I59" s="66"/>
      <c r="J59" s="66"/>
      <c r="K59" s="66"/>
      <c r="L59" s="66"/>
      <c r="M59" s="66"/>
      <c r="N59" s="66"/>
    </row>
    <row r="60" spans="1:14" x14ac:dyDescent="0.3">
      <c r="A60" s="66"/>
      <c r="B60" s="99"/>
      <c r="C60" s="99"/>
      <c r="D60" s="66"/>
      <c r="E60" s="66"/>
      <c r="F60" s="66"/>
      <c r="G60" s="66"/>
      <c r="H60" s="66"/>
      <c r="I60" s="66"/>
      <c r="J60" s="66"/>
      <c r="K60" s="66"/>
      <c r="L60" s="66"/>
      <c r="M60" s="66"/>
      <c r="N60" s="66"/>
    </row>
    <row r="61" spans="1:14" x14ac:dyDescent="0.3">
      <c r="A61" s="66"/>
      <c r="B61" s="99"/>
      <c r="C61" s="99"/>
      <c r="D61" s="66"/>
      <c r="E61" s="66"/>
      <c r="F61" s="66"/>
      <c r="G61" s="66"/>
      <c r="H61" s="66"/>
      <c r="I61" s="66"/>
      <c r="J61" s="66"/>
      <c r="K61" s="66"/>
      <c r="L61" s="66"/>
      <c r="M61" s="66"/>
      <c r="N61" s="66"/>
    </row>
    <row r="62" spans="1:14" x14ac:dyDescent="0.3">
      <c r="A62" s="66"/>
    </row>
    <row r="63" spans="1:14" x14ac:dyDescent="0.3">
      <c r="A63" s="66"/>
    </row>
    <row r="64" spans="1:14" x14ac:dyDescent="0.3">
      <c r="A64" s="66"/>
    </row>
    <row r="65" spans="1:1" x14ac:dyDescent="0.3">
      <c r="A65" s="66"/>
    </row>
    <row r="66" spans="1:1" x14ac:dyDescent="0.3">
      <c r="A66" s="66"/>
    </row>
    <row r="67" spans="1:1" x14ac:dyDescent="0.3">
      <c r="A67" s="66"/>
    </row>
    <row r="68" spans="1:1" x14ac:dyDescent="0.3">
      <c r="A68" s="66"/>
    </row>
    <row r="69" spans="1:1" x14ac:dyDescent="0.3">
      <c r="A69" s="66"/>
    </row>
    <row r="70" spans="1:1" x14ac:dyDescent="0.3">
      <c r="A70" s="66"/>
    </row>
    <row r="71" spans="1:1" x14ac:dyDescent="0.3">
      <c r="A71" s="66"/>
    </row>
    <row r="72" spans="1:1" x14ac:dyDescent="0.3">
      <c r="A72" s="66"/>
    </row>
    <row r="73" spans="1:1" x14ac:dyDescent="0.3">
      <c r="A73" s="66"/>
    </row>
    <row r="74" spans="1:1" x14ac:dyDescent="0.3">
      <c r="A74" s="66"/>
    </row>
    <row r="75" spans="1:1" x14ac:dyDescent="0.3">
      <c r="A75" s="66"/>
    </row>
    <row r="76" spans="1:1" x14ac:dyDescent="0.3">
      <c r="A76" s="66"/>
    </row>
    <row r="77" spans="1:1" x14ac:dyDescent="0.3">
      <c r="A77" s="66"/>
    </row>
    <row r="78" spans="1:1" x14ac:dyDescent="0.3">
      <c r="A78" s="66"/>
    </row>
    <row r="79" spans="1:1" x14ac:dyDescent="0.3">
      <c r="A79" s="66"/>
    </row>
    <row r="80" spans="1:1" x14ac:dyDescent="0.3">
      <c r="A80" s="66"/>
    </row>
    <row r="81" spans="1:1" x14ac:dyDescent="0.3">
      <c r="A81" s="66"/>
    </row>
    <row r="82" spans="1:1" x14ac:dyDescent="0.3">
      <c r="A82" s="66"/>
    </row>
    <row r="83" spans="1:1" x14ac:dyDescent="0.3">
      <c r="A83" s="66"/>
    </row>
    <row r="84" spans="1:1" x14ac:dyDescent="0.3">
      <c r="A84" s="66"/>
    </row>
    <row r="85" spans="1:1" x14ac:dyDescent="0.3">
      <c r="A85" s="66"/>
    </row>
    <row r="86" spans="1:1" x14ac:dyDescent="0.3">
      <c r="A86" s="66"/>
    </row>
    <row r="87" spans="1:1" x14ac:dyDescent="0.3">
      <c r="A87" s="66"/>
    </row>
    <row r="88" spans="1:1" x14ac:dyDescent="0.3">
      <c r="A88" s="66"/>
    </row>
    <row r="89" spans="1:1" x14ac:dyDescent="0.3">
      <c r="A89" s="66"/>
    </row>
    <row r="90" spans="1:1" x14ac:dyDescent="0.3">
      <c r="A90" s="66"/>
    </row>
    <row r="91" spans="1:1" x14ac:dyDescent="0.3">
      <c r="A91" s="66"/>
    </row>
    <row r="92" spans="1:1" x14ac:dyDescent="0.3">
      <c r="A92" s="66"/>
    </row>
    <row r="93" spans="1:1" x14ac:dyDescent="0.3">
      <c r="A93" s="66"/>
    </row>
    <row r="94" spans="1:1" x14ac:dyDescent="0.3">
      <c r="A94" s="66"/>
    </row>
    <row r="95" spans="1:1" x14ac:dyDescent="0.3">
      <c r="A95" s="66"/>
    </row>
    <row r="96" spans="1:1" x14ac:dyDescent="0.3">
      <c r="A96" s="66"/>
    </row>
    <row r="97" spans="1:1" x14ac:dyDescent="0.3">
      <c r="A97" s="66"/>
    </row>
    <row r="98" spans="1:1" x14ac:dyDescent="0.3">
      <c r="A98" s="66"/>
    </row>
    <row r="99" spans="1:1" x14ac:dyDescent="0.3">
      <c r="A99" s="66"/>
    </row>
    <row r="100" spans="1:1" x14ac:dyDescent="0.3">
      <c r="A100" s="66"/>
    </row>
    <row r="101" spans="1:1" x14ac:dyDescent="0.3">
      <c r="A101" s="66"/>
    </row>
    <row r="102" spans="1:1" x14ac:dyDescent="0.3">
      <c r="A102" s="66"/>
    </row>
    <row r="103" spans="1:1" x14ac:dyDescent="0.3">
      <c r="A103" s="66"/>
    </row>
    <row r="104" spans="1:1" x14ac:dyDescent="0.3">
      <c r="A104" s="66"/>
    </row>
    <row r="105" spans="1:1" x14ac:dyDescent="0.3">
      <c r="A105" s="66"/>
    </row>
    <row r="106" spans="1:1" x14ac:dyDescent="0.3">
      <c r="A106" s="66"/>
    </row>
    <row r="107" spans="1:1" x14ac:dyDescent="0.3">
      <c r="A107" s="66"/>
    </row>
    <row r="108" spans="1:1" x14ac:dyDescent="0.3">
      <c r="A108" s="66"/>
    </row>
    <row r="109" spans="1:1" x14ac:dyDescent="0.3">
      <c r="A109" s="66"/>
    </row>
    <row r="110" spans="1:1" x14ac:dyDescent="0.3">
      <c r="A110" s="66"/>
    </row>
    <row r="111" spans="1:1" x14ac:dyDescent="0.3">
      <c r="A111" s="66"/>
    </row>
    <row r="112" spans="1:1" x14ac:dyDescent="0.3">
      <c r="A112" s="66"/>
    </row>
    <row r="113" spans="1:1" x14ac:dyDescent="0.3">
      <c r="A113" s="66"/>
    </row>
    <row r="114" spans="1:1" x14ac:dyDescent="0.3">
      <c r="A114" s="66"/>
    </row>
    <row r="115" spans="1:1" x14ac:dyDescent="0.3">
      <c r="A115" s="66"/>
    </row>
    <row r="116" spans="1:1" x14ac:dyDescent="0.3">
      <c r="A116" s="66"/>
    </row>
    <row r="117" spans="1:1" x14ac:dyDescent="0.3">
      <c r="A117" s="66"/>
    </row>
    <row r="118" spans="1:1" x14ac:dyDescent="0.3">
      <c r="A118" s="66"/>
    </row>
    <row r="119" spans="1:1" x14ac:dyDescent="0.3">
      <c r="A119" s="66"/>
    </row>
    <row r="120" spans="1:1" x14ac:dyDescent="0.3">
      <c r="A120" s="66"/>
    </row>
    <row r="121" spans="1:1" x14ac:dyDescent="0.3">
      <c r="A121" s="66"/>
    </row>
    <row r="122" spans="1:1" x14ac:dyDescent="0.3">
      <c r="A122" s="66"/>
    </row>
    <row r="123" spans="1:1" x14ac:dyDescent="0.3">
      <c r="A123" s="66"/>
    </row>
    <row r="124" spans="1:1" x14ac:dyDescent="0.3">
      <c r="A124" s="66"/>
    </row>
    <row r="125" spans="1:1" x14ac:dyDescent="0.3">
      <c r="A125" s="66"/>
    </row>
    <row r="126" spans="1:1" x14ac:dyDescent="0.3">
      <c r="A126" s="66"/>
    </row>
    <row r="127" spans="1:1" x14ac:dyDescent="0.3">
      <c r="A127" s="66"/>
    </row>
    <row r="128" spans="1:1" x14ac:dyDescent="0.3">
      <c r="A128" s="66"/>
    </row>
    <row r="129" spans="1:1" x14ac:dyDescent="0.3">
      <c r="A129" s="66"/>
    </row>
    <row r="130" spans="1:1" x14ac:dyDescent="0.3">
      <c r="A130" s="66"/>
    </row>
    <row r="131" spans="1:1" x14ac:dyDescent="0.3">
      <c r="A131" s="66"/>
    </row>
    <row r="132" spans="1:1" x14ac:dyDescent="0.3">
      <c r="A132" s="66"/>
    </row>
    <row r="133" spans="1:1" x14ac:dyDescent="0.3">
      <c r="A133" s="66"/>
    </row>
    <row r="134" spans="1:1" x14ac:dyDescent="0.3">
      <c r="A134" s="66"/>
    </row>
    <row r="135" spans="1:1" x14ac:dyDescent="0.3">
      <c r="A135" s="66"/>
    </row>
    <row r="136" spans="1:1" x14ac:dyDescent="0.3">
      <c r="A136" s="66"/>
    </row>
    <row r="137" spans="1:1" x14ac:dyDescent="0.3">
      <c r="A137" s="66"/>
    </row>
    <row r="138" spans="1:1" x14ac:dyDescent="0.3">
      <c r="A138" s="66"/>
    </row>
    <row r="139" spans="1:1" x14ac:dyDescent="0.3">
      <c r="A139" s="66"/>
    </row>
    <row r="140" spans="1:1" x14ac:dyDescent="0.3">
      <c r="A140" s="66"/>
    </row>
    <row r="141" spans="1:1" x14ac:dyDescent="0.3">
      <c r="A141" s="66"/>
    </row>
    <row r="142" spans="1:1" x14ac:dyDescent="0.3">
      <c r="A142" s="66"/>
    </row>
    <row r="143" spans="1:1" x14ac:dyDescent="0.3">
      <c r="A143" s="66"/>
    </row>
    <row r="144" spans="1:1" x14ac:dyDescent="0.3">
      <c r="A144" s="66"/>
    </row>
    <row r="145" spans="1:1" x14ac:dyDescent="0.3">
      <c r="A145" s="66"/>
    </row>
    <row r="146" spans="1:1" x14ac:dyDescent="0.3">
      <c r="A146" s="66"/>
    </row>
    <row r="147" spans="1:1" x14ac:dyDescent="0.3">
      <c r="A147" s="66"/>
    </row>
    <row r="148" spans="1:1" x14ac:dyDescent="0.3">
      <c r="A148" s="66"/>
    </row>
    <row r="149" spans="1:1" x14ac:dyDescent="0.3">
      <c r="A149" s="66"/>
    </row>
    <row r="150" spans="1:1" x14ac:dyDescent="0.3">
      <c r="A150" s="66"/>
    </row>
    <row r="151" spans="1:1" x14ac:dyDescent="0.3">
      <c r="A151" s="66"/>
    </row>
    <row r="152" spans="1:1" x14ac:dyDescent="0.3">
      <c r="A152" s="66"/>
    </row>
    <row r="153" spans="1:1" x14ac:dyDescent="0.3">
      <c r="A153" s="66"/>
    </row>
    <row r="154" spans="1:1" x14ac:dyDescent="0.3">
      <c r="A154" s="66"/>
    </row>
    <row r="155" spans="1:1" x14ac:dyDescent="0.3">
      <c r="A155" s="66"/>
    </row>
    <row r="156" spans="1:1" x14ac:dyDescent="0.3">
      <c r="A156" s="66"/>
    </row>
    <row r="157" spans="1:1" x14ac:dyDescent="0.3">
      <c r="A157" s="66"/>
    </row>
    <row r="158" spans="1:1" x14ac:dyDescent="0.3">
      <c r="A158" s="66"/>
    </row>
    <row r="159" spans="1:1" x14ac:dyDescent="0.3">
      <c r="A159" s="66"/>
    </row>
    <row r="160" spans="1:1" x14ac:dyDescent="0.3">
      <c r="A160" s="66"/>
    </row>
    <row r="161" spans="1:1" x14ac:dyDescent="0.3">
      <c r="A161" s="66"/>
    </row>
    <row r="162" spans="1:1" x14ac:dyDescent="0.3">
      <c r="A162" s="66"/>
    </row>
    <row r="163" spans="1:1" x14ac:dyDescent="0.3">
      <c r="A163" s="66"/>
    </row>
    <row r="164" spans="1:1" x14ac:dyDescent="0.3">
      <c r="A164" s="66"/>
    </row>
    <row r="165" spans="1:1" x14ac:dyDescent="0.3">
      <c r="A165" s="66"/>
    </row>
    <row r="166" spans="1:1" x14ac:dyDescent="0.3">
      <c r="A166" s="66"/>
    </row>
    <row r="167" spans="1:1" x14ac:dyDescent="0.3">
      <c r="A167" s="66"/>
    </row>
    <row r="168" spans="1:1" x14ac:dyDescent="0.3">
      <c r="A168" s="66"/>
    </row>
    <row r="169" spans="1:1" x14ac:dyDescent="0.3">
      <c r="A169" s="66"/>
    </row>
    <row r="170" spans="1:1" x14ac:dyDescent="0.3">
      <c r="A170" s="66"/>
    </row>
    <row r="171" spans="1:1" x14ac:dyDescent="0.3">
      <c r="A171" s="66"/>
    </row>
    <row r="172" spans="1:1" x14ac:dyDescent="0.3">
      <c r="A172" s="66"/>
    </row>
    <row r="173" spans="1:1" x14ac:dyDescent="0.3">
      <c r="A173" s="66"/>
    </row>
    <row r="174" spans="1:1" x14ac:dyDescent="0.3">
      <c r="A174" s="66"/>
    </row>
    <row r="175" spans="1:1" x14ac:dyDescent="0.3">
      <c r="A175" s="66"/>
    </row>
    <row r="176" spans="1:1" x14ac:dyDescent="0.3">
      <c r="A176" s="66"/>
    </row>
    <row r="177" spans="1:1" x14ac:dyDescent="0.3">
      <c r="A177" s="66"/>
    </row>
    <row r="178" spans="1:1" x14ac:dyDescent="0.3">
      <c r="A178" s="66"/>
    </row>
    <row r="179" spans="1:1" x14ac:dyDescent="0.3">
      <c r="A179" s="66"/>
    </row>
    <row r="180" spans="1:1" x14ac:dyDescent="0.3">
      <c r="A180" s="66"/>
    </row>
    <row r="181" spans="1:1" x14ac:dyDescent="0.3">
      <c r="A181" s="66"/>
    </row>
    <row r="182" spans="1:1" x14ac:dyDescent="0.3">
      <c r="A182" s="66"/>
    </row>
    <row r="183" spans="1:1" x14ac:dyDescent="0.3">
      <c r="A183" s="66"/>
    </row>
    <row r="184" spans="1:1" x14ac:dyDescent="0.3">
      <c r="A184" s="66"/>
    </row>
    <row r="185" spans="1:1" x14ac:dyDescent="0.3">
      <c r="A185" s="66"/>
    </row>
    <row r="186" spans="1:1" x14ac:dyDescent="0.3">
      <c r="A186" s="66"/>
    </row>
    <row r="187" spans="1:1" x14ac:dyDescent="0.3">
      <c r="A187" s="66"/>
    </row>
    <row r="188" spans="1:1" x14ac:dyDescent="0.3">
      <c r="A188" s="66"/>
    </row>
    <row r="189" spans="1:1" x14ac:dyDescent="0.3">
      <c r="A189" s="66"/>
    </row>
    <row r="190" spans="1:1" x14ac:dyDescent="0.3">
      <c r="A190" s="66"/>
    </row>
    <row r="191" spans="1:1" x14ac:dyDescent="0.3">
      <c r="A191" s="66"/>
    </row>
    <row r="192" spans="1:1" x14ac:dyDescent="0.3">
      <c r="A192" s="66"/>
    </row>
    <row r="193" spans="1:1" x14ac:dyDescent="0.3">
      <c r="A193" s="66"/>
    </row>
    <row r="194" spans="1:1" x14ac:dyDescent="0.3">
      <c r="A194" s="66"/>
    </row>
    <row r="195" spans="1:1" x14ac:dyDescent="0.3">
      <c r="A195" s="66"/>
    </row>
    <row r="196" spans="1:1" x14ac:dyDescent="0.3">
      <c r="A196" s="66"/>
    </row>
    <row r="197" spans="1:1" x14ac:dyDescent="0.3">
      <c r="A197" s="66"/>
    </row>
    <row r="198" spans="1:1" x14ac:dyDescent="0.3">
      <c r="A198" s="66"/>
    </row>
    <row r="199" spans="1:1" x14ac:dyDescent="0.3">
      <c r="A199" s="66"/>
    </row>
    <row r="200" spans="1:1" x14ac:dyDescent="0.3">
      <c r="A200" s="66"/>
    </row>
    <row r="201" spans="1:1" x14ac:dyDescent="0.3">
      <c r="A201" s="66"/>
    </row>
    <row r="202" spans="1:1" x14ac:dyDescent="0.3">
      <c r="A202" s="66"/>
    </row>
    <row r="203" spans="1:1" x14ac:dyDescent="0.3">
      <c r="A203" s="66"/>
    </row>
    <row r="204" spans="1:1" x14ac:dyDescent="0.3">
      <c r="A204" s="66"/>
    </row>
    <row r="205" spans="1:1" x14ac:dyDescent="0.3">
      <c r="A205" s="66"/>
    </row>
    <row r="206" spans="1:1" x14ac:dyDescent="0.3">
      <c r="A206" s="66"/>
    </row>
    <row r="207" spans="1:1" x14ac:dyDescent="0.3">
      <c r="A207" s="66"/>
    </row>
    <row r="208" spans="1:1" x14ac:dyDescent="0.3">
      <c r="A208" s="66"/>
    </row>
    <row r="209" spans="1:1" x14ac:dyDescent="0.3">
      <c r="A209" s="66"/>
    </row>
    <row r="210" spans="1:1" x14ac:dyDescent="0.3">
      <c r="A210" s="66"/>
    </row>
    <row r="211" spans="1:1" x14ac:dyDescent="0.3">
      <c r="A211" s="66"/>
    </row>
    <row r="212" spans="1:1" x14ac:dyDescent="0.3">
      <c r="A212" s="66"/>
    </row>
    <row r="213" spans="1:1" x14ac:dyDescent="0.3">
      <c r="A213" s="66"/>
    </row>
    <row r="214" spans="1:1" x14ac:dyDescent="0.3">
      <c r="A214" s="66"/>
    </row>
    <row r="215" spans="1:1" x14ac:dyDescent="0.3">
      <c r="A215" s="66"/>
    </row>
    <row r="216" spans="1:1" x14ac:dyDescent="0.3">
      <c r="A216" s="66"/>
    </row>
    <row r="217" spans="1:1" x14ac:dyDescent="0.3">
      <c r="A217" s="66"/>
    </row>
    <row r="218" spans="1:1" x14ac:dyDescent="0.3">
      <c r="A218" s="66"/>
    </row>
    <row r="219" spans="1:1" x14ac:dyDescent="0.3">
      <c r="A219" s="66"/>
    </row>
    <row r="220" spans="1:1" x14ac:dyDescent="0.3">
      <c r="A220" s="66"/>
    </row>
    <row r="221" spans="1:1" x14ac:dyDescent="0.3">
      <c r="A221" s="66"/>
    </row>
    <row r="222" spans="1:1" x14ac:dyDescent="0.3">
      <c r="A222" s="66"/>
    </row>
    <row r="223" spans="1:1" x14ac:dyDescent="0.3">
      <c r="A223" s="66"/>
    </row>
    <row r="224" spans="1:1" x14ac:dyDescent="0.3">
      <c r="A224" s="66"/>
    </row>
    <row r="225" spans="1:1" x14ac:dyDescent="0.3">
      <c r="A225" s="66"/>
    </row>
    <row r="226" spans="1:1" x14ac:dyDescent="0.3">
      <c r="A226" s="66"/>
    </row>
    <row r="227" spans="1:1" x14ac:dyDescent="0.3">
      <c r="A227" s="66"/>
    </row>
    <row r="228" spans="1:1" x14ac:dyDescent="0.3">
      <c r="A228" s="66"/>
    </row>
    <row r="229" spans="1:1" x14ac:dyDescent="0.3">
      <c r="A229" s="66"/>
    </row>
    <row r="230" spans="1:1" x14ac:dyDescent="0.3">
      <c r="A230" s="66"/>
    </row>
    <row r="231" spans="1:1" x14ac:dyDescent="0.3">
      <c r="A231" s="66"/>
    </row>
    <row r="232" spans="1:1" x14ac:dyDescent="0.3">
      <c r="A232" s="66"/>
    </row>
    <row r="233" spans="1:1" x14ac:dyDescent="0.3">
      <c r="A233" s="66"/>
    </row>
    <row r="234" spans="1:1" x14ac:dyDescent="0.3">
      <c r="A234" s="66"/>
    </row>
    <row r="235" spans="1:1" x14ac:dyDescent="0.3">
      <c r="A235" s="66"/>
    </row>
    <row r="236" spans="1:1" x14ac:dyDescent="0.3">
      <c r="A236" s="66"/>
    </row>
    <row r="237" spans="1:1" x14ac:dyDescent="0.3">
      <c r="A237" s="66"/>
    </row>
    <row r="238" spans="1:1" x14ac:dyDescent="0.3">
      <c r="A238" s="66"/>
    </row>
    <row r="239" spans="1:1" x14ac:dyDescent="0.3">
      <c r="A239" s="66"/>
    </row>
    <row r="240" spans="1:1" x14ac:dyDescent="0.3">
      <c r="A240" s="66"/>
    </row>
    <row r="241" spans="1:1" x14ac:dyDescent="0.3">
      <c r="A241" s="66"/>
    </row>
    <row r="242" spans="1:1" x14ac:dyDescent="0.3">
      <c r="A242" s="66"/>
    </row>
    <row r="243" spans="1:1" x14ac:dyDescent="0.3">
      <c r="A243" s="66"/>
    </row>
    <row r="244" spans="1:1" x14ac:dyDescent="0.3">
      <c r="A244" s="66"/>
    </row>
    <row r="245" spans="1:1" x14ac:dyDescent="0.3">
      <c r="A245" s="66"/>
    </row>
    <row r="246" spans="1:1" x14ac:dyDescent="0.3">
      <c r="A246" s="66"/>
    </row>
  </sheetData>
  <mergeCells count="3">
    <mergeCell ref="B12:C12"/>
    <mergeCell ref="B20:C20"/>
    <mergeCell ref="B5:E7"/>
  </mergeCells>
  <printOptions horizontalCentered="1" headings="1"/>
  <pageMargins left="1" right="1" top="1.25" bottom="1" header="0.5" footer="0.5"/>
  <pageSetup scale="64" orientation="portrait" r:id="rId1"/>
  <headerFooter scaleWithDoc="0">
    <oddHeader>&amp;R&amp;"Arial,Bold"ICC Docket No. 17-0312
Statewide Quarterly Report ComEd 2019 Q4 
Tab: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4.9989318521683403E-2"/>
    <pageSetUpPr fitToPage="1"/>
  </sheetPr>
  <dimension ref="A1:V153"/>
  <sheetViews>
    <sheetView zoomScale="75" workbookViewId="0">
      <selection activeCell="I30" sqref="I30"/>
    </sheetView>
  </sheetViews>
  <sheetFormatPr defaultColWidth="0" defaultRowHeight="14.4" zeroHeight="1" x14ac:dyDescent="0.3"/>
  <cols>
    <col min="1" max="1" width="3.5546875" customWidth="1"/>
    <col min="2" max="2" width="18.5546875" style="12" customWidth="1"/>
    <col min="3" max="3" width="22.109375" customWidth="1"/>
    <col min="4" max="4" width="24.109375" customWidth="1"/>
    <col min="5" max="6" width="18.5546875" customWidth="1"/>
    <col min="7" max="7" width="19.109375" customWidth="1"/>
    <col min="8" max="8" width="3.109375" customWidth="1"/>
    <col min="9" max="9" width="31.5546875" customWidth="1"/>
    <col min="10" max="10" width="32.6640625" style="242" bestFit="1" customWidth="1"/>
    <col min="11" max="11" width="42.6640625" style="242" bestFit="1" customWidth="1"/>
    <col min="12" max="15" width="17.6640625" style="242" bestFit="1" customWidth="1"/>
    <col min="16" max="16" width="29.109375" style="242" bestFit="1" customWidth="1"/>
    <col min="17" max="18" width="17.109375" style="242" bestFit="1" customWidth="1"/>
    <col min="19" max="19" width="12.109375" customWidth="1"/>
    <col min="20" max="20" width="9.109375" customWidth="1"/>
    <col min="21" max="22" width="0" hidden="1" customWidth="1"/>
    <col min="23" max="16384" width="9.109375" hidden="1"/>
  </cols>
  <sheetData>
    <row r="1" spans="1:22" x14ac:dyDescent="0.3">
      <c r="A1" s="66"/>
      <c r="B1" s="72" t="s">
        <v>0</v>
      </c>
      <c r="C1" s="66"/>
      <c r="D1" s="66"/>
      <c r="E1" s="66"/>
      <c r="F1" s="66"/>
      <c r="G1" s="66"/>
      <c r="H1" s="66"/>
      <c r="I1" s="66"/>
      <c r="J1" s="241"/>
      <c r="K1" s="241"/>
      <c r="L1" s="241"/>
      <c r="M1" s="241"/>
      <c r="N1" s="241"/>
      <c r="O1" s="241"/>
      <c r="P1" s="241"/>
      <c r="Q1" s="241"/>
      <c r="R1" s="241"/>
      <c r="S1" s="66"/>
      <c r="T1" s="66"/>
      <c r="U1" s="66"/>
      <c r="V1" s="66"/>
    </row>
    <row r="2" spans="1:22" x14ac:dyDescent="0.3">
      <c r="A2" s="66"/>
      <c r="B2" s="72" t="s">
        <v>141</v>
      </c>
      <c r="C2" s="66"/>
      <c r="D2" s="66"/>
      <c r="E2" s="66"/>
      <c r="F2" s="66"/>
      <c r="G2" s="66"/>
      <c r="H2" s="66"/>
      <c r="I2" s="66"/>
      <c r="J2" s="241"/>
      <c r="K2" s="241"/>
      <c r="L2" s="241"/>
      <c r="M2" s="241"/>
      <c r="N2" s="241"/>
      <c r="O2" s="241"/>
      <c r="P2" s="241"/>
      <c r="Q2" s="241"/>
      <c r="R2" s="241"/>
      <c r="S2" s="66"/>
      <c r="T2" s="66"/>
      <c r="U2" s="66"/>
      <c r="V2" s="66"/>
    </row>
    <row r="3" spans="1:22" x14ac:dyDescent="0.3">
      <c r="A3" s="66"/>
      <c r="B3" s="72"/>
      <c r="C3" s="66"/>
      <c r="D3" s="66"/>
      <c r="E3" s="66"/>
      <c r="F3" s="66"/>
      <c r="G3" s="66"/>
      <c r="H3" s="66"/>
      <c r="I3" s="66"/>
      <c r="J3" s="241"/>
      <c r="K3" s="241"/>
      <c r="L3" s="241"/>
      <c r="M3" s="241"/>
      <c r="N3" s="241"/>
      <c r="O3" s="241"/>
      <c r="P3" s="241"/>
      <c r="Q3" s="241"/>
      <c r="R3" s="241"/>
      <c r="S3" s="66"/>
      <c r="T3" s="66"/>
      <c r="U3" s="66"/>
      <c r="V3" s="66"/>
    </row>
    <row r="4" spans="1:22" x14ac:dyDescent="0.3">
      <c r="A4" s="66"/>
      <c r="B4" s="72"/>
      <c r="C4" s="66"/>
      <c r="D4" s="66"/>
      <c r="E4" s="66"/>
      <c r="F4" s="66"/>
      <c r="G4" s="66"/>
      <c r="H4" s="66"/>
      <c r="I4" s="66"/>
      <c r="J4" s="241"/>
      <c r="K4" s="241"/>
      <c r="L4" s="241"/>
      <c r="M4" s="241"/>
      <c r="N4" s="241"/>
      <c r="O4" s="241"/>
      <c r="P4" s="241"/>
      <c r="Q4" s="241"/>
      <c r="R4" s="241"/>
      <c r="S4" s="66"/>
      <c r="T4" s="66"/>
      <c r="U4" s="66"/>
      <c r="V4" s="66"/>
    </row>
    <row r="5" spans="1:22" ht="14.85" customHeight="1" x14ac:dyDescent="0.3">
      <c r="A5" s="66"/>
      <c r="B5" s="307" t="s">
        <v>142</v>
      </c>
      <c r="C5" s="307"/>
      <c r="D5" s="307"/>
      <c r="E5" s="307"/>
      <c r="F5" s="307"/>
      <c r="G5" s="307"/>
      <c r="H5" s="66"/>
      <c r="I5" s="66"/>
      <c r="J5" s="241"/>
      <c r="K5" s="241"/>
      <c r="L5" s="241"/>
      <c r="M5" s="241"/>
      <c r="N5" s="241"/>
      <c r="O5" s="241"/>
      <c r="P5" s="241"/>
      <c r="Q5" s="241"/>
      <c r="R5" s="241"/>
      <c r="S5" s="66"/>
      <c r="T5" s="66"/>
      <c r="U5" s="66"/>
      <c r="V5" s="66"/>
    </row>
    <row r="6" spans="1:22" x14ac:dyDescent="0.3">
      <c r="A6" s="66"/>
      <c r="B6" s="307"/>
      <c r="C6" s="307"/>
      <c r="D6" s="307"/>
      <c r="E6" s="307"/>
      <c r="F6" s="307"/>
      <c r="G6" s="307"/>
      <c r="H6" s="66"/>
      <c r="I6" s="66"/>
      <c r="J6" s="241"/>
      <c r="K6" s="241"/>
      <c r="L6" s="241"/>
      <c r="M6" s="241"/>
      <c r="N6" s="241"/>
      <c r="O6" s="241"/>
      <c r="P6" s="241"/>
      <c r="Q6" s="241"/>
      <c r="R6" s="241"/>
      <c r="S6" s="66"/>
      <c r="T6" s="66"/>
      <c r="U6" s="66"/>
      <c r="V6" s="66"/>
    </row>
    <row r="7" spans="1:22" x14ac:dyDescent="0.3">
      <c r="A7" s="66"/>
      <c r="B7" s="307"/>
      <c r="C7" s="307"/>
      <c r="D7" s="307"/>
      <c r="E7" s="307"/>
      <c r="F7" s="307"/>
      <c r="G7" s="307"/>
      <c r="H7" s="66"/>
      <c r="I7" s="66"/>
      <c r="J7" s="241"/>
      <c r="K7" s="241"/>
      <c r="L7" s="241"/>
      <c r="M7" s="241"/>
      <c r="N7" s="241"/>
      <c r="O7" s="241"/>
      <c r="P7" s="241"/>
      <c r="Q7" s="241"/>
      <c r="R7" s="241"/>
      <c r="S7" s="66"/>
      <c r="T7" s="66"/>
      <c r="U7" s="66"/>
      <c r="V7" s="66"/>
    </row>
    <row r="8" spans="1:22" x14ac:dyDescent="0.3">
      <c r="A8" s="66"/>
      <c r="B8" s="307"/>
      <c r="C8" s="307"/>
      <c r="D8" s="307"/>
      <c r="E8" s="307"/>
      <c r="F8" s="307"/>
      <c r="G8" s="307"/>
      <c r="H8" s="66"/>
      <c r="I8" s="66"/>
      <c r="J8" s="241"/>
      <c r="K8" s="241"/>
      <c r="L8" s="241"/>
      <c r="M8" s="241"/>
      <c r="N8" s="241"/>
      <c r="O8" s="241"/>
      <c r="P8" s="241"/>
      <c r="Q8" s="241"/>
      <c r="R8" s="241"/>
      <c r="S8" s="66"/>
      <c r="T8" s="66"/>
      <c r="U8" s="66"/>
      <c r="V8" s="66"/>
    </row>
    <row r="9" spans="1:22" x14ac:dyDescent="0.3">
      <c r="A9" s="66"/>
      <c r="B9" s="307"/>
      <c r="C9" s="307"/>
      <c r="D9" s="307"/>
      <c r="E9" s="307"/>
      <c r="F9" s="307"/>
      <c r="G9" s="307"/>
      <c r="H9" s="66"/>
      <c r="I9" s="66"/>
      <c r="J9" s="241"/>
      <c r="K9" s="241"/>
      <c r="L9" s="241"/>
      <c r="M9" s="241"/>
      <c r="N9" s="241"/>
      <c r="O9" s="241"/>
      <c r="P9" s="241"/>
      <c r="Q9" s="241"/>
      <c r="R9" s="241"/>
      <c r="S9" s="66"/>
      <c r="T9" s="66"/>
      <c r="U9" s="66"/>
      <c r="V9" s="66"/>
    </row>
    <row r="10" spans="1:22" x14ac:dyDescent="0.3">
      <c r="A10" s="66"/>
      <c r="B10" s="71"/>
      <c r="C10" s="66"/>
      <c r="D10" s="66"/>
      <c r="E10" s="66"/>
      <c r="F10" s="66"/>
      <c r="G10" s="66"/>
      <c r="H10" s="66"/>
      <c r="I10" s="66"/>
      <c r="J10" s="241"/>
      <c r="K10" s="241"/>
      <c r="L10" s="241"/>
      <c r="M10" s="241"/>
      <c r="N10" s="241"/>
      <c r="O10" s="241"/>
      <c r="P10" s="241"/>
      <c r="Q10" s="241"/>
      <c r="R10" s="241"/>
      <c r="S10" s="66"/>
      <c r="T10" s="66"/>
      <c r="U10" s="66"/>
      <c r="V10" s="66"/>
    </row>
    <row r="11" spans="1:22" ht="17.399999999999999" x14ac:dyDescent="0.3">
      <c r="A11" s="66"/>
      <c r="B11" s="74" t="s">
        <v>143</v>
      </c>
      <c r="C11" s="74"/>
      <c r="D11" s="75"/>
      <c r="E11" s="75"/>
      <c r="F11" s="75"/>
      <c r="G11" s="75"/>
      <c r="H11" s="66"/>
      <c r="I11" s="138" t="s">
        <v>144</v>
      </c>
      <c r="J11" s="241"/>
      <c r="K11" s="241"/>
      <c r="L11" s="241"/>
      <c r="M11" s="241"/>
      <c r="N11" s="241"/>
      <c r="O11" s="241"/>
      <c r="P11" s="241"/>
      <c r="Q11" s="241"/>
      <c r="R11" s="241"/>
      <c r="S11" s="66"/>
      <c r="T11" s="66"/>
      <c r="U11" s="66"/>
      <c r="V11" s="66"/>
    </row>
    <row r="12" spans="1:22" ht="18" customHeight="1" x14ac:dyDescent="0.3">
      <c r="A12" s="66"/>
      <c r="B12" s="232" t="str">
        <f>'1- Ex Ante Results'!A19</f>
        <v>CY2024 Q2</v>
      </c>
      <c r="C12" s="76"/>
      <c r="D12" s="75"/>
      <c r="E12" s="75"/>
      <c r="F12" s="75"/>
      <c r="G12" s="75"/>
      <c r="H12" s="66"/>
      <c r="I12" s="139"/>
      <c r="J12" s="241"/>
      <c r="K12" s="241"/>
      <c r="L12" s="241"/>
      <c r="M12" s="241"/>
      <c r="N12" s="241"/>
      <c r="O12" s="241"/>
      <c r="P12" s="241"/>
      <c r="Q12" s="241"/>
      <c r="R12" s="241"/>
      <c r="S12" s="66"/>
      <c r="T12" s="66"/>
      <c r="U12" s="66"/>
      <c r="V12" s="66"/>
    </row>
    <row r="13" spans="1:22" s="12" customFormat="1" ht="64.349999999999994" customHeight="1" x14ac:dyDescent="0.3">
      <c r="A13" s="71"/>
      <c r="B13" s="11" t="s">
        <v>145</v>
      </c>
      <c r="C13" s="5" t="s">
        <v>146</v>
      </c>
      <c r="D13" s="5" t="s">
        <v>147</v>
      </c>
      <c r="E13" s="5" t="s">
        <v>148</v>
      </c>
      <c r="F13" s="5" t="s">
        <v>149</v>
      </c>
      <c r="G13" s="5" t="s">
        <v>150</v>
      </c>
      <c r="H13" s="71"/>
      <c r="I13" s="11" t="s">
        <v>151</v>
      </c>
      <c r="J13" s="5" t="s">
        <v>152</v>
      </c>
      <c r="K13" s="5" t="s">
        <v>153</v>
      </c>
      <c r="L13" s="5" t="s">
        <v>154</v>
      </c>
      <c r="M13" s="5" t="s">
        <v>155</v>
      </c>
      <c r="N13" s="5" t="s">
        <v>156</v>
      </c>
      <c r="O13" s="5" t="s">
        <v>157</v>
      </c>
      <c r="P13" s="5" t="s">
        <v>158</v>
      </c>
      <c r="Q13" s="5" t="s">
        <v>159</v>
      </c>
      <c r="R13" s="5" t="s">
        <v>160</v>
      </c>
      <c r="S13" s="71"/>
      <c r="T13" s="71"/>
      <c r="U13" s="71"/>
      <c r="V13" s="71"/>
    </row>
    <row r="14" spans="1:22" ht="31.35" customHeight="1" x14ac:dyDescent="0.3">
      <c r="A14" s="66"/>
      <c r="B14" s="46" t="s">
        <v>161</v>
      </c>
      <c r="C14" s="7" t="s">
        <v>162</v>
      </c>
      <c r="D14" s="8">
        <v>163717</v>
      </c>
      <c r="E14" s="8">
        <v>148842</v>
      </c>
      <c r="F14" s="8">
        <f>E14</f>
        <v>148842</v>
      </c>
      <c r="G14" s="9">
        <f>D14/F14</f>
        <v>1.0999381894895257</v>
      </c>
      <c r="H14" s="66"/>
      <c r="I14" s="34" t="s">
        <v>163</v>
      </c>
      <c r="J14" s="249">
        <v>18636</v>
      </c>
      <c r="K14" s="249">
        <v>34038</v>
      </c>
      <c r="L14" s="249">
        <v>54130</v>
      </c>
      <c r="M14" s="249">
        <v>107640</v>
      </c>
      <c r="N14" s="249">
        <v>98944</v>
      </c>
      <c r="O14" s="249">
        <v>86439</v>
      </c>
      <c r="P14" s="249">
        <v>85124.305999999997</v>
      </c>
      <c r="Q14" s="250">
        <v>30340.597000000002</v>
      </c>
      <c r="R14" s="249">
        <v>171941.09</v>
      </c>
      <c r="S14" s="66"/>
      <c r="T14" s="66"/>
      <c r="U14" s="66"/>
      <c r="V14" s="66"/>
    </row>
    <row r="15" spans="1:22" s="12" customFormat="1" ht="31.35" customHeight="1" x14ac:dyDescent="0.25">
      <c r="A15" s="71"/>
      <c r="B15" s="46" t="s">
        <v>164</v>
      </c>
      <c r="C15" s="7" t="s">
        <v>162</v>
      </c>
      <c r="D15" s="32">
        <v>472132</v>
      </c>
      <c r="E15" s="32">
        <v>312339</v>
      </c>
      <c r="F15" s="8">
        <f>E15</f>
        <v>312339</v>
      </c>
      <c r="G15" s="33">
        <f t="shared" ref="G15:G30" si="0">D15/F15</f>
        <v>1.5116011769263524</v>
      </c>
      <c r="H15" s="71"/>
      <c r="I15" s="30" t="s">
        <v>165</v>
      </c>
      <c r="J15" s="240" t="s">
        <v>162</v>
      </c>
      <c r="K15" s="240" t="s">
        <v>162</v>
      </c>
      <c r="L15" s="240" t="s">
        <v>162</v>
      </c>
      <c r="M15" s="240" t="s">
        <v>162</v>
      </c>
      <c r="N15" s="240" t="s">
        <v>162</v>
      </c>
      <c r="O15" s="240" t="s">
        <v>162</v>
      </c>
      <c r="P15" s="240" t="s">
        <v>166</v>
      </c>
      <c r="Q15" s="240" t="s">
        <v>166</v>
      </c>
      <c r="R15" s="240" t="s">
        <v>166</v>
      </c>
      <c r="S15" s="71"/>
      <c r="T15" s="71"/>
      <c r="U15" s="71"/>
      <c r="V15" s="71"/>
    </row>
    <row r="16" spans="1:22" ht="31.35" customHeight="1" x14ac:dyDescent="0.3">
      <c r="A16" s="66"/>
      <c r="B16" s="46" t="s">
        <v>167</v>
      </c>
      <c r="C16" s="7" t="s">
        <v>162</v>
      </c>
      <c r="D16" s="8">
        <v>626715</v>
      </c>
      <c r="E16" s="8">
        <v>458919</v>
      </c>
      <c r="F16" s="8">
        <f>E16</f>
        <v>458919</v>
      </c>
      <c r="G16" s="9">
        <f t="shared" si="0"/>
        <v>1.3656331509482065</v>
      </c>
      <c r="H16" s="66"/>
      <c r="I16" s="42" t="s">
        <v>168</v>
      </c>
      <c r="J16" s="243" t="s">
        <v>169</v>
      </c>
      <c r="K16" s="243" t="s">
        <v>170</v>
      </c>
      <c r="L16" s="239" t="s">
        <v>171</v>
      </c>
      <c r="M16" s="239" t="s">
        <v>172</v>
      </c>
      <c r="N16" s="239" t="s">
        <v>173</v>
      </c>
      <c r="O16" s="239" t="s">
        <v>174</v>
      </c>
      <c r="P16" s="243" t="s">
        <v>175</v>
      </c>
      <c r="Q16" s="239" t="s">
        <v>176</v>
      </c>
      <c r="R16" s="239" t="s">
        <v>176</v>
      </c>
      <c r="S16" s="66"/>
      <c r="T16" s="66"/>
      <c r="U16" s="66"/>
      <c r="V16" s="66"/>
    </row>
    <row r="17" spans="1:22" ht="27.6" x14ac:dyDescent="0.3">
      <c r="A17" s="66"/>
      <c r="B17" s="36" t="s">
        <v>177</v>
      </c>
      <c r="C17" s="21"/>
      <c r="D17" s="22">
        <f>SUM(D14:D16)</f>
        <v>1262564</v>
      </c>
      <c r="E17" s="22">
        <f>SUM(E14:E16)</f>
        <v>920100</v>
      </c>
      <c r="F17" s="22">
        <f>SUM(F14:F16)</f>
        <v>920100</v>
      </c>
      <c r="G17" s="23">
        <f t="shared" si="0"/>
        <v>1.3722030214107162</v>
      </c>
      <c r="H17" s="66"/>
      <c r="I17" s="167"/>
      <c r="J17" s="241"/>
      <c r="K17" s="241"/>
      <c r="L17" s="241"/>
      <c r="M17" s="241"/>
      <c r="N17" s="241"/>
      <c r="O17" s="241"/>
      <c r="P17" s="241"/>
      <c r="Q17" s="241"/>
      <c r="R17" s="241"/>
      <c r="S17" s="66"/>
      <c r="T17" s="66"/>
      <c r="U17" s="66"/>
      <c r="V17" s="66"/>
    </row>
    <row r="18" spans="1:22" ht="31.35" customHeight="1" x14ac:dyDescent="0.3">
      <c r="A18" s="66"/>
      <c r="B18" s="46" t="s">
        <v>178</v>
      </c>
      <c r="C18" s="7" t="s">
        <v>162</v>
      </c>
      <c r="D18" s="8">
        <v>944111</v>
      </c>
      <c r="E18" s="8">
        <v>610804</v>
      </c>
      <c r="F18" s="8">
        <f>E18</f>
        <v>610804</v>
      </c>
      <c r="G18" s="9">
        <f t="shared" si="0"/>
        <v>1.5456856864067687</v>
      </c>
      <c r="H18" s="66"/>
      <c r="I18" s="167" t="s">
        <v>111</v>
      </c>
      <c r="J18" s="241"/>
      <c r="K18" s="241"/>
      <c r="L18" s="241"/>
      <c r="M18" s="241"/>
      <c r="N18" s="241"/>
      <c r="O18" s="241"/>
      <c r="P18" s="241"/>
      <c r="Q18" s="241"/>
      <c r="R18" s="241"/>
      <c r="S18" s="66"/>
      <c r="T18" s="66"/>
      <c r="U18" s="66"/>
      <c r="V18" s="66"/>
    </row>
    <row r="19" spans="1:22" ht="31.35" customHeight="1" x14ac:dyDescent="0.3">
      <c r="A19" s="66"/>
      <c r="B19" s="46" t="s">
        <v>179</v>
      </c>
      <c r="C19" s="7" t="s">
        <v>162</v>
      </c>
      <c r="D19" s="8">
        <v>942061</v>
      </c>
      <c r="E19" s="8">
        <v>806353</v>
      </c>
      <c r="F19" s="8">
        <f>E19</f>
        <v>806353</v>
      </c>
      <c r="G19" s="9">
        <f t="shared" si="0"/>
        <v>1.1682984995405239</v>
      </c>
      <c r="H19" s="66"/>
      <c r="I19" s="276" t="s">
        <v>180</v>
      </c>
      <c r="J19" s="277"/>
      <c r="K19" s="277"/>
      <c r="L19" s="277"/>
      <c r="M19" s="277"/>
      <c r="N19" s="277"/>
      <c r="O19" s="277"/>
      <c r="P19" s="277"/>
      <c r="Q19" s="277"/>
      <c r="R19" s="278"/>
      <c r="S19" s="66"/>
      <c r="T19" s="66"/>
      <c r="U19" s="66"/>
      <c r="V19" s="66"/>
    </row>
    <row r="20" spans="1:22" ht="31.35" customHeight="1" x14ac:dyDescent="0.3">
      <c r="A20" s="66"/>
      <c r="B20" s="46" t="s">
        <v>181</v>
      </c>
      <c r="C20" s="7" t="s">
        <v>162</v>
      </c>
      <c r="D20" s="8">
        <v>977911</v>
      </c>
      <c r="E20" s="8">
        <v>809556</v>
      </c>
      <c r="F20" s="8">
        <v>791103</v>
      </c>
      <c r="G20" s="9">
        <f t="shared" si="0"/>
        <v>1.2361361289237938</v>
      </c>
      <c r="H20" s="66"/>
      <c r="I20" s="276" t="s">
        <v>182</v>
      </c>
      <c r="J20" s="277"/>
      <c r="K20" s="277"/>
      <c r="L20" s="277"/>
      <c r="M20" s="277"/>
      <c r="N20" s="277"/>
      <c r="O20" s="277"/>
      <c r="P20" s="277"/>
      <c r="Q20" s="277"/>
      <c r="R20" s="278"/>
      <c r="S20" s="66"/>
      <c r="T20" s="66"/>
      <c r="U20" s="66"/>
      <c r="V20" s="66"/>
    </row>
    <row r="21" spans="1:22" ht="43.5" customHeight="1" x14ac:dyDescent="0.3">
      <c r="A21" s="66"/>
      <c r="B21" s="36" t="s">
        <v>183</v>
      </c>
      <c r="C21" s="21"/>
      <c r="D21" s="22">
        <f>SUM(D18:D20)</f>
        <v>2864083</v>
      </c>
      <c r="E21" s="22">
        <f>SUM(E18:E20)</f>
        <v>2226713</v>
      </c>
      <c r="F21" s="22">
        <f>SUM(F18:F20)</f>
        <v>2208260</v>
      </c>
      <c r="G21" s="23">
        <f t="shared" si="0"/>
        <v>1.2969863150172534</v>
      </c>
      <c r="H21" s="66"/>
      <c r="I21" s="66"/>
      <c r="J21" s="241"/>
      <c r="K21" s="241"/>
      <c r="L21" s="241"/>
      <c r="M21" s="241"/>
      <c r="N21" s="241"/>
      <c r="O21" s="241"/>
      <c r="P21" s="241"/>
      <c r="Q21" s="241"/>
      <c r="R21" s="241"/>
      <c r="S21" s="66"/>
      <c r="T21" s="66"/>
      <c r="U21" s="66"/>
      <c r="V21" s="66"/>
    </row>
    <row r="22" spans="1:22" ht="31.35" customHeight="1" x14ac:dyDescent="0.3">
      <c r="A22" s="66"/>
      <c r="B22" s="46" t="s">
        <v>184</v>
      </c>
      <c r="C22" s="7" t="s">
        <v>166</v>
      </c>
      <c r="D22" s="8">
        <v>809877.65800000005</v>
      </c>
      <c r="E22" s="8">
        <v>648029</v>
      </c>
      <c r="F22" s="56">
        <f>E22</f>
        <v>648029</v>
      </c>
      <c r="G22" s="9">
        <f t="shared" si="0"/>
        <v>1.2497552702116728</v>
      </c>
      <c r="H22" s="66"/>
      <c r="I22" s="66"/>
      <c r="J22" s="241"/>
      <c r="K22" s="241"/>
      <c r="L22" s="241"/>
      <c r="M22" s="241"/>
      <c r="N22" s="241"/>
      <c r="O22" s="241"/>
      <c r="P22" s="241"/>
      <c r="Q22" s="241"/>
      <c r="R22" s="241"/>
      <c r="S22" s="66"/>
      <c r="T22" s="66"/>
      <c r="U22" s="66"/>
      <c r="V22" s="66"/>
    </row>
    <row r="23" spans="1:22" ht="31.35" customHeight="1" x14ac:dyDescent="0.3">
      <c r="A23" s="66"/>
      <c r="B23" s="46" t="s">
        <v>185</v>
      </c>
      <c r="C23" s="7" t="s">
        <v>166</v>
      </c>
      <c r="D23" s="8">
        <v>671027.05099999998</v>
      </c>
      <c r="E23" s="8">
        <v>541983</v>
      </c>
      <c r="F23" s="56">
        <f>E23</f>
        <v>541983</v>
      </c>
      <c r="G23" s="9">
        <f t="shared" si="0"/>
        <v>1.2380961229411254</v>
      </c>
      <c r="H23" s="66"/>
      <c r="I23" s="66"/>
      <c r="J23" s="241"/>
      <c r="K23" s="241"/>
      <c r="L23" s="241"/>
      <c r="M23" s="241"/>
      <c r="N23" s="241"/>
      <c r="O23" s="241"/>
      <c r="P23" s="241"/>
      <c r="Q23" s="241"/>
      <c r="R23" s="241"/>
      <c r="S23" s="66"/>
      <c r="T23" s="66"/>
      <c r="U23" s="66"/>
      <c r="V23" s="66"/>
    </row>
    <row r="24" spans="1:22" ht="31.35" customHeight="1" x14ac:dyDescent="0.3">
      <c r="A24" s="66"/>
      <c r="B24" s="46" t="s">
        <v>186</v>
      </c>
      <c r="C24" s="10" t="s">
        <v>166</v>
      </c>
      <c r="D24" s="8">
        <v>1087076</v>
      </c>
      <c r="E24" s="8">
        <v>787629</v>
      </c>
      <c r="F24" s="56">
        <f>E24</f>
        <v>787629</v>
      </c>
      <c r="G24" s="9">
        <f t="shared" si="0"/>
        <v>1.3801878803345229</v>
      </c>
      <c r="H24" s="66"/>
      <c r="I24" s="66"/>
      <c r="J24" s="241"/>
      <c r="K24" s="241"/>
      <c r="L24" s="241"/>
      <c r="M24" s="241"/>
      <c r="N24" s="241"/>
      <c r="O24" s="241"/>
      <c r="P24" s="241"/>
      <c r="Q24" s="241"/>
      <c r="R24" s="241"/>
      <c r="S24" s="66"/>
      <c r="T24" s="66"/>
      <c r="U24" s="66"/>
      <c r="V24" s="66"/>
    </row>
    <row r="25" spans="1:22" ht="44.25" customHeight="1" x14ac:dyDescent="0.3">
      <c r="A25" s="66"/>
      <c r="B25" s="36" t="s">
        <v>187</v>
      </c>
      <c r="C25" s="21"/>
      <c r="D25" s="22">
        <f>SUM(D22:D24)</f>
        <v>2567980.7089999998</v>
      </c>
      <c r="E25" s="22">
        <f>SUM(E22:E24)</f>
        <v>1977641</v>
      </c>
      <c r="F25" s="57">
        <f>SUM(F22:F24)</f>
        <v>1977641</v>
      </c>
      <c r="G25" s="23">
        <f t="shared" si="0"/>
        <v>1.298507013659203</v>
      </c>
      <c r="H25" s="66"/>
      <c r="I25" s="66"/>
      <c r="J25" s="241"/>
      <c r="K25" s="241"/>
      <c r="L25" s="241"/>
      <c r="M25" s="241"/>
      <c r="N25" s="241"/>
      <c r="O25" s="241"/>
      <c r="P25" s="241"/>
      <c r="Q25" s="241"/>
      <c r="R25" s="241"/>
      <c r="S25" s="66"/>
      <c r="T25" s="66"/>
      <c r="U25" s="66"/>
      <c r="V25" s="66"/>
    </row>
    <row r="26" spans="1:22" x14ac:dyDescent="0.3">
      <c r="A26" s="303" t="s">
        <v>188</v>
      </c>
      <c r="B26" s="31">
        <v>2018</v>
      </c>
      <c r="C26" s="10" t="s">
        <v>166</v>
      </c>
      <c r="D26" s="8">
        <v>1859773.2879999999</v>
      </c>
      <c r="E26" s="82">
        <v>1713349</v>
      </c>
      <c r="F26" s="56">
        <f>E26</f>
        <v>1713349</v>
      </c>
      <c r="G26" s="9">
        <f>D26/F26</f>
        <v>1.0854608652411155</v>
      </c>
      <c r="H26" s="66"/>
      <c r="I26" s="66"/>
      <c r="J26" s="241"/>
      <c r="K26" s="241"/>
      <c r="L26" s="241"/>
      <c r="M26" s="241"/>
      <c r="N26" s="241"/>
      <c r="O26" s="241"/>
      <c r="P26" s="241"/>
      <c r="Q26" s="241"/>
      <c r="R26" s="241"/>
      <c r="S26" s="66"/>
      <c r="T26" s="66"/>
      <c r="U26" s="66"/>
      <c r="V26" s="66"/>
    </row>
    <row r="27" spans="1:22" x14ac:dyDescent="0.3">
      <c r="A27" s="304"/>
      <c r="B27" s="31">
        <v>2019</v>
      </c>
      <c r="C27" s="10" t="s">
        <v>166</v>
      </c>
      <c r="D27" s="8">
        <v>1700029.4500006568</v>
      </c>
      <c r="E27" s="82">
        <v>1629672</v>
      </c>
      <c r="F27" s="56">
        <f>E27</f>
        <v>1629672</v>
      </c>
      <c r="G27" s="9">
        <f t="shared" si="0"/>
        <v>1.043172767281181</v>
      </c>
      <c r="H27" s="66"/>
      <c r="I27" s="66"/>
      <c r="J27" s="241"/>
      <c r="K27" s="241"/>
      <c r="L27" s="241"/>
      <c r="M27" s="241"/>
      <c r="N27" s="241"/>
      <c r="O27" s="241"/>
      <c r="P27" s="241"/>
      <c r="Q27" s="241"/>
      <c r="R27" s="241"/>
      <c r="S27" s="66"/>
      <c r="T27" s="66"/>
      <c r="U27" s="66"/>
      <c r="V27" s="66"/>
    </row>
    <row r="28" spans="1:22" x14ac:dyDescent="0.3">
      <c r="A28" s="304"/>
      <c r="B28" s="31">
        <v>2020</v>
      </c>
      <c r="C28" s="10" t="s">
        <v>166</v>
      </c>
      <c r="D28" s="8">
        <v>1821166.2136200001</v>
      </c>
      <c r="E28" s="82">
        <v>1637572</v>
      </c>
      <c r="F28" s="56">
        <f>E28</f>
        <v>1637572</v>
      </c>
      <c r="G28" s="9">
        <f t="shared" si="0"/>
        <v>1.1121136741590598</v>
      </c>
      <c r="H28" s="66"/>
      <c r="I28" s="66"/>
      <c r="J28" s="241"/>
      <c r="K28" s="241"/>
      <c r="L28" s="241"/>
      <c r="M28" s="241"/>
      <c r="N28" s="241"/>
      <c r="O28" s="241"/>
      <c r="P28" s="241"/>
      <c r="Q28" s="241"/>
      <c r="R28" s="241"/>
      <c r="S28" s="66"/>
      <c r="T28" s="66"/>
      <c r="U28" s="66"/>
      <c r="V28" s="66"/>
    </row>
    <row r="29" spans="1:22" x14ac:dyDescent="0.3">
      <c r="A29" s="304"/>
      <c r="B29" s="31">
        <v>2021</v>
      </c>
      <c r="C29" s="10" t="s">
        <v>166</v>
      </c>
      <c r="D29" s="8">
        <v>1849877.162</v>
      </c>
      <c r="E29" s="82">
        <v>1658918</v>
      </c>
      <c r="F29" s="8">
        <f>E29</f>
        <v>1658918</v>
      </c>
      <c r="G29" s="55">
        <f t="shared" si="0"/>
        <v>1.1151106697256887</v>
      </c>
      <c r="H29" s="66"/>
      <c r="I29" s="70"/>
      <c r="J29" s="241"/>
      <c r="K29" s="241"/>
      <c r="L29" s="241"/>
      <c r="M29" s="241"/>
      <c r="N29" s="241"/>
      <c r="O29" s="241"/>
      <c r="P29" s="241"/>
      <c r="Q29" s="241"/>
      <c r="R29" s="241"/>
      <c r="S29" s="66"/>
      <c r="T29" s="66"/>
      <c r="U29" s="66"/>
      <c r="V29" s="66"/>
    </row>
    <row r="30" spans="1:22" ht="42" customHeight="1" x14ac:dyDescent="0.3">
      <c r="A30" s="305"/>
      <c r="B30" s="36" t="s">
        <v>189</v>
      </c>
      <c r="C30" s="21"/>
      <c r="D30" s="22">
        <f>SUM(D26:D29)</f>
        <v>7230846.1136206575</v>
      </c>
      <c r="E30" s="22">
        <f>SUM(E26:E29)</f>
        <v>6639511</v>
      </c>
      <c r="F30" s="22">
        <f>SUM(F26:F29)</f>
        <v>6639511</v>
      </c>
      <c r="G30" s="23">
        <f t="shared" si="0"/>
        <v>1.0890630520260689</v>
      </c>
      <c r="H30" s="66"/>
      <c r="I30" s="66"/>
      <c r="J30" s="241"/>
      <c r="K30" s="241"/>
      <c r="L30" s="241"/>
      <c r="M30" s="241"/>
      <c r="N30" s="241"/>
      <c r="O30" s="241"/>
      <c r="P30" s="241"/>
      <c r="Q30" s="241"/>
      <c r="R30" s="241"/>
      <c r="S30" s="66"/>
      <c r="T30" s="66"/>
      <c r="U30" s="66"/>
      <c r="V30" s="66"/>
    </row>
    <row r="31" spans="1:22" ht="14.85" customHeight="1" x14ac:dyDescent="0.3">
      <c r="A31" s="303" t="s">
        <v>190</v>
      </c>
      <c r="B31" s="31">
        <v>2022</v>
      </c>
      <c r="C31" s="10" t="s">
        <v>166</v>
      </c>
      <c r="D31" s="8">
        <v>1724232</v>
      </c>
      <c r="E31" s="82">
        <v>1738072.00060309</v>
      </c>
      <c r="F31" s="56">
        <f>E31</f>
        <v>1738072.00060309</v>
      </c>
      <c r="G31" s="9">
        <f>D31/F31</f>
        <v>0.99203715346758492</v>
      </c>
      <c r="H31" s="66"/>
      <c r="I31" s="66"/>
      <c r="J31" s="241"/>
      <c r="K31" s="241"/>
      <c r="L31" s="241"/>
      <c r="M31" s="241"/>
      <c r="N31" s="241"/>
      <c r="O31" s="241"/>
      <c r="P31" s="241"/>
      <c r="Q31" s="241"/>
      <c r="R31" s="241"/>
      <c r="S31" s="66"/>
      <c r="T31" s="66"/>
      <c r="U31" s="66"/>
      <c r="V31" s="66"/>
    </row>
    <row r="32" spans="1:22" x14ac:dyDescent="0.3">
      <c r="A32" s="304"/>
      <c r="B32" s="31">
        <v>2023</v>
      </c>
      <c r="C32" s="10" t="s">
        <v>166</v>
      </c>
      <c r="D32" s="8">
        <f>1601359437.39405/1000</f>
        <v>1601359.4373940499</v>
      </c>
      <c r="E32" s="82">
        <v>1544746.0016381273</v>
      </c>
      <c r="F32" s="56">
        <f>E32</f>
        <v>1544746.0016381273</v>
      </c>
      <c r="G32" s="9">
        <f>D32/F32</f>
        <v>1.0366490255976626</v>
      </c>
      <c r="H32" s="66"/>
      <c r="I32" s="66"/>
      <c r="J32" s="241"/>
      <c r="K32" s="241"/>
      <c r="L32" s="241"/>
      <c r="M32" s="241"/>
      <c r="N32" s="241"/>
      <c r="O32" s="241"/>
      <c r="P32" s="241"/>
      <c r="Q32" s="241"/>
      <c r="R32" s="241"/>
      <c r="S32" s="66"/>
      <c r="T32" s="66"/>
      <c r="U32" s="66"/>
      <c r="V32" s="66"/>
    </row>
    <row r="33" spans="1:22" x14ac:dyDescent="0.3">
      <c r="A33" s="304"/>
      <c r="B33" s="31">
        <v>2024</v>
      </c>
      <c r="C33" s="10" t="s">
        <v>191</v>
      </c>
      <c r="D33" s="8">
        <f>'1- Ex Ante Results'!$B$115</f>
        <v>938235.73702779994</v>
      </c>
      <c r="E33" s="82">
        <v>1777272.2980352</v>
      </c>
      <c r="F33" s="56">
        <f>E33</f>
        <v>1777272.2980352</v>
      </c>
      <c r="G33" s="9">
        <f>D33/F33</f>
        <v>0.52790770331875037</v>
      </c>
      <c r="H33" s="66"/>
      <c r="I33" s="66"/>
      <c r="J33" s="241"/>
      <c r="K33" s="241"/>
      <c r="L33" s="241"/>
      <c r="M33" s="241"/>
      <c r="N33" s="241"/>
      <c r="O33" s="241"/>
      <c r="P33" s="241"/>
      <c r="Q33" s="241"/>
      <c r="R33" s="241"/>
      <c r="S33" s="66"/>
      <c r="T33" s="66"/>
      <c r="U33" s="66"/>
      <c r="V33" s="66"/>
    </row>
    <row r="34" spans="1:22" x14ac:dyDescent="0.3">
      <c r="A34" s="304"/>
      <c r="B34" s="31">
        <v>2025</v>
      </c>
      <c r="C34" s="10" t="s">
        <v>191</v>
      </c>
      <c r="D34" s="8" t="s">
        <v>192</v>
      </c>
      <c r="E34" s="82">
        <v>1747847.8958436295</v>
      </c>
      <c r="F34" s="56">
        <f>E34</f>
        <v>1747847.8958436295</v>
      </c>
      <c r="G34" s="55">
        <v>0</v>
      </c>
      <c r="H34" s="66"/>
      <c r="I34" s="66"/>
      <c r="J34" s="241"/>
      <c r="K34" s="241"/>
      <c r="L34" s="241"/>
      <c r="M34" s="241"/>
      <c r="N34" s="241"/>
      <c r="O34" s="241"/>
      <c r="P34" s="241"/>
      <c r="Q34" s="241"/>
      <c r="R34" s="241"/>
      <c r="S34" s="66"/>
      <c r="T34" s="66"/>
      <c r="U34" s="66"/>
      <c r="V34" s="66"/>
    </row>
    <row r="35" spans="1:22" ht="42" customHeight="1" x14ac:dyDescent="0.3">
      <c r="A35" s="305"/>
      <c r="B35" s="36" t="s">
        <v>193</v>
      </c>
      <c r="C35" s="21"/>
      <c r="D35" s="22">
        <f>SUM(D31:D34)</f>
        <v>4263827.1744218497</v>
      </c>
      <c r="E35" s="22">
        <f>SUM(E31:E34)</f>
        <v>6807938.196120047</v>
      </c>
      <c r="F35" s="22">
        <f>SUM(F31:F34)</f>
        <v>6807938.196120047</v>
      </c>
      <c r="G35" s="23">
        <f>D35/F35</f>
        <v>0.62630227413813377</v>
      </c>
      <c r="H35" s="66"/>
      <c r="I35" s="66"/>
      <c r="J35" s="241"/>
      <c r="K35" s="241"/>
      <c r="L35" s="241"/>
      <c r="M35" s="241"/>
      <c r="N35" s="241"/>
      <c r="O35" s="241"/>
      <c r="P35" s="241"/>
      <c r="Q35" s="241"/>
      <c r="R35" s="241"/>
      <c r="S35" s="66"/>
      <c r="T35" s="66"/>
      <c r="U35" s="66"/>
      <c r="V35" s="66"/>
    </row>
    <row r="36" spans="1:22" x14ac:dyDescent="0.3">
      <c r="A36" s="66"/>
      <c r="B36" s="71"/>
      <c r="C36" s="66"/>
      <c r="D36" s="66"/>
      <c r="E36" s="66"/>
      <c r="F36" s="66"/>
      <c r="G36" s="66"/>
      <c r="H36" s="66"/>
      <c r="I36" s="66"/>
      <c r="J36" s="241"/>
      <c r="K36" s="241"/>
      <c r="L36" s="241"/>
      <c r="M36" s="241"/>
      <c r="N36" s="241"/>
      <c r="O36" s="241"/>
      <c r="P36" s="241"/>
      <c r="Q36" s="241"/>
      <c r="R36" s="241"/>
      <c r="S36" s="66"/>
      <c r="T36" s="66"/>
      <c r="U36" s="66"/>
      <c r="V36" s="66"/>
    </row>
    <row r="37" spans="1:22" x14ac:dyDescent="0.3">
      <c r="A37" s="66"/>
      <c r="B37" s="71"/>
      <c r="C37" s="66"/>
      <c r="D37" s="66"/>
      <c r="E37" s="66"/>
      <c r="F37" s="66"/>
      <c r="G37" s="66"/>
      <c r="H37" s="66"/>
      <c r="I37" s="66"/>
      <c r="J37" s="241"/>
      <c r="K37" s="241"/>
      <c r="L37" s="241"/>
      <c r="M37" s="241"/>
      <c r="N37" s="241"/>
      <c r="O37" s="241"/>
      <c r="P37" s="241"/>
      <c r="Q37" s="241"/>
      <c r="R37" s="241"/>
      <c r="S37" s="66"/>
      <c r="T37" s="66"/>
      <c r="U37" s="66"/>
      <c r="V37" s="66"/>
    </row>
    <row r="38" spans="1:22" x14ac:dyDescent="0.3">
      <c r="A38" s="66"/>
      <c r="B38" s="71"/>
      <c r="C38" s="66"/>
      <c r="D38" s="66"/>
      <c r="E38" s="66"/>
      <c r="F38" s="66"/>
      <c r="G38" s="66"/>
      <c r="H38" s="66"/>
      <c r="I38" s="66"/>
      <c r="J38" s="241"/>
      <c r="K38" s="241"/>
      <c r="L38" s="241"/>
      <c r="M38" s="241"/>
      <c r="N38" s="241"/>
      <c r="O38" s="241"/>
      <c r="P38" s="241"/>
      <c r="Q38" s="241"/>
      <c r="R38" s="241"/>
      <c r="S38" s="66"/>
      <c r="T38" s="66"/>
      <c r="U38" s="66"/>
      <c r="V38" s="66"/>
    </row>
    <row r="39" spans="1:22" x14ac:dyDescent="0.3">
      <c r="A39" s="66"/>
      <c r="B39" s="71"/>
      <c r="C39" s="66"/>
      <c r="D39" s="66"/>
      <c r="E39" s="66"/>
      <c r="F39" s="66"/>
      <c r="G39" s="66"/>
      <c r="H39" s="66"/>
      <c r="I39" s="66"/>
      <c r="J39" s="241"/>
      <c r="K39" s="241"/>
      <c r="L39" s="241"/>
      <c r="M39" s="241"/>
      <c r="N39" s="241"/>
      <c r="O39" s="241"/>
      <c r="P39" s="241"/>
      <c r="Q39" s="241"/>
      <c r="R39" s="241"/>
      <c r="S39" s="66"/>
      <c r="T39" s="66"/>
      <c r="U39" s="66"/>
      <c r="V39" s="66"/>
    </row>
    <row r="40" spans="1:22" x14ac:dyDescent="0.3">
      <c r="A40" s="66"/>
      <c r="B40" s="71"/>
      <c r="C40" s="66"/>
      <c r="D40" s="66"/>
      <c r="E40" s="66"/>
      <c r="F40" s="66"/>
      <c r="G40" s="66"/>
      <c r="H40" s="66"/>
      <c r="I40" s="66"/>
      <c r="J40" s="241"/>
      <c r="K40" s="241"/>
      <c r="L40" s="241"/>
      <c r="M40" s="241"/>
      <c r="N40" s="241"/>
      <c r="O40" s="241"/>
      <c r="P40" s="241"/>
      <c r="Q40" s="241"/>
      <c r="R40" s="241"/>
      <c r="S40" s="66"/>
      <c r="T40" s="66"/>
      <c r="U40" s="66"/>
      <c r="V40" s="66"/>
    </row>
    <row r="41" spans="1:22" x14ac:dyDescent="0.3">
      <c r="A41" s="66"/>
      <c r="B41" s="167" t="s">
        <v>111</v>
      </c>
      <c r="C41" s="66"/>
      <c r="D41" s="66"/>
      <c r="E41" s="66"/>
      <c r="F41" s="66"/>
      <c r="G41" s="66"/>
      <c r="H41" s="66"/>
      <c r="I41" s="66"/>
      <c r="J41" s="241"/>
      <c r="K41" s="241"/>
      <c r="L41" s="241"/>
      <c r="M41" s="241"/>
      <c r="N41" s="241"/>
      <c r="O41" s="241"/>
      <c r="P41" s="241"/>
      <c r="Q41" s="241"/>
      <c r="R41" s="241"/>
      <c r="S41" s="66"/>
      <c r="T41" s="66"/>
      <c r="U41" s="66"/>
      <c r="V41" s="66"/>
    </row>
    <row r="42" spans="1:22" s="81" customFormat="1" ht="44.1" customHeight="1" x14ac:dyDescent="0.3">
      <c r="A42" s="168"/>
      <c r="B42" s="308" t="s">
        <v>194</v>
      </c>
      <c r="C42" s="308"/>
      <c r="D42" s="308"/>
      <c r="E42" s="308"/>
      <c r="F42" s="308"/>
      <c r="G42" s="308"/>
      <c r="H42" s="168"/>
      <c r="I42" s="168"/>
      <c r="J42" s="241"/>
      <c r="K42" s="241"/>
      <c r="L42" s="241"/>
      <c r="M42" s="241"/>
      <c r="N42" s="241"/>
      <c r="O42" s="241"/>
      <c r="P42" s="241"/>
      <c r="Q42" s="241"/>
      <c r="R42" s="241"/>
      <c r="S42" s="168"/>
      <c r="T42" s="168"/>
      <c r="U42" s="168"/>
      <c r="V42" s="168"/>
    </row>
    <row r="43" spans="1:22" s="81" customFormat="1" ht="44.1" customHeight="1" x14ac:dyDescent="0.3">
      <c r="A43" s="168"/>
      <c r="B43" s="308" t="s">
        <v>195</v>
      </c>
      <c r="C43" s="308"/>
      <c r="D43" s="308"/>
      <c r="E43" s="308"/>
      <c r="F43" s="308"/>
      <c r="G43" s="308"/>
      <c r="H43" s="168"/>
      <c r="I43" s="168"/>
      <c r="J43" s="241"/>
      <c r="K43" s="241"/>
      <c r="L43" s="241"/>
      <c r="M43" s="241"/>
      <c r="N43" s="241"/>
      <c r="O43" s="241"/>
      <c r="P43" s="241"/>
      <c r="Q43" s="241"/>
      <c r="R43" s="241"/>
      <c r="S43" s="168"/>
      <c r="T43" s="168"/>
      <c r="U43" s="168"/>
      <c r="V43" s="168"/>
    </row>
    <row r="44" spans="1:22" s="81" customFormat="1" ht="44.1" customHeight="1" x14ac:dyDescent="0.3">
      <c r="A44" s="168"/>
      <c r="B44" s="306" t="s">
        <v>196</v>
      </c>
      <c r="C44" s="306"/>
      <c r="D44" s="306"/>
      <c r="E44" s="306"/>
      <c r="F44" s="306"/>
      <c r="G44" s="306"/>
      <c r="H44" s="168"/>
      <c r="I44" s="168"/>
      <c r="J44" s="241"/>
      <c r="K44" s="241"/>
      <c r="L44" s="241"/>
      <c r="M44" s="241"/>
      <c r="N44" s="241"/>
      <c r="O44" s="241"/>
      <c r="P44" s="241"/>
      <c r="Q44" s="241"/>
      <c r="R44" s="241"/>
      <c r="S44" s="168"/>
      <c r="T44" s="168"/>
      <c r="U44" s="168"/>
      <c r="V44" s="168"/>
    </row>
    <row r="45" spans="1:22" x14ac:dyDescent="0.3">
      <c r="A45" s="66"/>
      <c r="B45" s="71"/>
      <c r="C45" s="66"/>
      <c r="D45" s="66"/>
      <c r="E45" s="66"/>
      <c r="F45" s="66"/>
      <c r="G45" s="66"/>
      <c r="H45" s="66"/>
      <c r="I45" s="66"/>
      <c r="J45" s="241"/>
      <c r="K45" s="241"/>
      <c r="L45" s="241"/>
      <c r="M45" s="241"/>
      <c r="N45" s="241"/>
      <c r="O45" s="241"/>
      <c r="P45" s="241"/>
      <c r="Q45" s="241"/>
      <c r="R45" s="241"/>
      <c r="S45" s="66"/>
      <c r="T45" s="66"/>
      <c r="U45" s="66"/>
      <c r="V45" s="66"/>
    </row>
    <row r="46" spans="1:22" x14ac:dyDescent="0.3">
      <c r="A46" s="66"/>
      <c r="B46" s="71"/>
      <c r="C46" s="66"/>
      <c r="D46" s="66"/>
      <c r="E46" s="66"/>
      <c r="F46" s="66"/>
      <c r="G46" s="66"/>
      <c r="H46" s="66"/>
      <c r="I46" s="66"/>
      <c r="J46" s="241"/>
      <c r="K46" s="241"/>
      <c r="L46" s="241"/>
      <c r="M46" s="241"/>
      <c r="N46" s="241"/>
      <c r="O46" s="241"/>
      <c r="P46" s="241"/>
      <c r="Q46" s="241"/>
      <c r="R46" s="241"/>
      <c r="S46" s="66"/>
      <c r="T46" s="66"/>
      <c r="U46" s="66"/>
      <c r="V46" s="66"/>
    </row>
    <row r="47" spans="1:22" x14ac:dyDescent="0.3">
      <c r="A47" s="66"/>
      <c r="B47" s="71"/>
      <c r="C47" s="66"/>
      <c r="D47" s="66"/>
      <c r="E47" s="66"/>
      <c r="F47" s="66"/>
      <c r="G47" s="66"/>
      <c r="H47" s="66"/>
      <c r="I47" s="66"/>
      <c r="J47" s="241"/>
      <c r="K47" s="241"/>
      <c r="L47" s="241"/>
      <c r="M47" s="241"/>
      <c r="N47" s="241"/>
      <c r="O47" s="241"/>
      <c r="P47" s="241"/>
      <c r="Q47" s="241"/>
      <c r="R47" s="241"/>
      <c r="S47" s="66"/>
      <c r="T47" s="66"/>
      <c r="U47" s="66"/>
      <c r="V47" s="66"/>
    </row>
    <row r="48" spans="1:22" x14ac:dyDescent="0.3">
      <c r="A48" s="66"/>
      <c r="B48" s="71"/>
      <c r="C48" s="66"/>
      <c r="D48" s="66"/>
      <c r="E48" s="66"/>
      <c r="F48" s="66"/>
      <c r="G48" s="66"/>
      <c r="H48" s="66"/>
      <c r="I48" s="66"/>
      <c r="J48" s="241"/>
      <c r="K48" s="241"/>
      <c r="L48" s="241"/>
      <c r="M48" s="241"/>
      <c r="N48" s="241"/>
      <c r="O48" s="241"/>
      <c r="P48" s="241"/>
      <c r="Q48" s="241"/>
      <c r="R48" s="241"/>
      <c r="S48" s="66"/>
      <c r="T48" s="66"/>
      <c r="U48" s="66"/>
      <c r="V48" s="66"/>
    </row>
    <row r="49" spans="1:22" x14ac:dyDescent="0.3">
      <c r="A49" s="66"/>
      <c r="B49" s="71"/>
      <c r="C49" s="66"/>
      <c r="D49" s="66"/>
      <c r="E49" s="66"/>
      <c r="F49" s="66"/>
      <c r="G49" s="66"/>
      <c r="H49" s="66"/>
      <c r="I49" s="66"/>
      <c r="J49" s="241"/>
      <c r="K49" s="241"/>
      <c r="L49" s="241"/>
      <c r="M49" s="241"/>
      <c r="N49" s="241"/>
      <c r="O49" s="241"/>
      <c r="P49" s="241"/>
      <c r="Q49" s="241"/>
      <c r="R49" s="241"/>
      <c r="S49" s="66"/>
      <c r="T49" s="66"/>
      <c r="U49" s="66"/>
      <c r="V49" s="66"/>
    </row>
    <row r="50" spans="1:22" x14ac:dyDescent="0.3">
      <c r="A50" s="66"/>
      <c r="B50" s="71"/>
      <c r="C50" s="66"/>
      <c r="D50" s="66"/>
      <c r="E50" s="66"/>
      <c r="F50" s="66"/>
      <c r="G50" s="66"/>
      <c r="H50" s="66"/>
      <c r="I50" s="66"/>
      <c r="J50" s="241"/>
      <c r="K50" s="241"/>
      <c r="L50" s="241"/>
      <c r="M50" s="241"/>
      <c r="N50" s="241"/>
      <c r="O50" s="241"/>
      <c r="P50" s="241"/>
      <c r="Q50" s="241"/>
      <c r="R50" s="241"/>
      <c r="S50" s="66"/>
      <c r="T50" s="66"/>
      <c r="U50" s="66"/>
      <c r="V50" s="66"/>
    </row>
    <row r="51" spans="1:22" x14ac:dyDescent="0.3">
      <c r="A51" s="66"/>
      <c r="B51" s="71"/>
      <c r="C51" s="66"/>
      <c r="D51" s="66"/>
      <c r="E51" s="66"/>
      <c r="F51" s="66"/>
      <c r="G51" s="66"/>
      <c r="H51" s="66"/>
      <c r="I51" s="66"/>
      <c r="J51" s="241"/>
      <c r="K51" s="241"/>
      <c r="L51" s="241"/>
      <c r="M51" s="241"/>
      <c r="N51" s="241"/>
      <c r="O51" s="241"/>
      <c r="P51" s="241"/>
      <c r="Q51" s="241"/>
      <c r="R51" s="241"/>
      <c r="S51" s="66"/>
      <c r="T51" s="66"/>
      <c r="U51" s="66"/>
      <c r="V51" s="66"/>
    </row>
    <row r="52" spans="1:22" x14ac:dyDescent="0.3">
      <c r="A52" s="66"/>
      <c r="B52" s="71"/>
      <c r="C52" s="66"/>
      <c r="D52" s="66"/>
      <c r="E52" s="66"/>
      <c r="F52" s="66"/>
      <c r="G52" s="66"/>
      <c r="H52" s="66"/>
      <c r="I52" s="66"/>
      <c r="J52" s="241"/>
      <c r="K52" s="241"/>
      <c r="L52" s="241"/>
      <c r="M52" s="241"/>
      <c r="N52" s="241"/>
      <c r="O52" s="241"/>
      <c r="P52" s="241"/>
      <c r="Q52" s="241"/>
      <c r="R52" s="241"/>
      <c r="S52" s="66"/>
      <c r="T52" s="66"/>
      <c r="U52" s="66"/>
      <c r="V52" s="66"/>
    </row>
    <row r="53" spans="1:22" x14ac:dyDescent="0.3">
      <c r="A53" s="66"/>
      <c r="B53" s="71"/>
      <c r="C53" s="66"/>
      <c r="D53" s="66"/>
      <c r="E53" s="66"/>
      <c r="F53" s="66"/>
      <c r="G53" s="66"/>
      <c r="H53" s="66"/>
      <c r="I53" s="66"/>
      <c r="J53" s="241"/>
      <c r="K53" s="241"/>
      <c r="L53" s="241"/>
      <c r="M53" s="241"/>
      <c r="N53" s="241"/>
      <c r="O53" s="241"/>
      <c r="P53" s="241"/>
      <c r="Q53" s="241"/>
      <c r="R53" s="241"/>
      <c r="S53" s="66"/>
      <c r="T53" s="66"/>
      <c r="U53" s="66"/>
      <c r="V53" s="66"/>
    </row>
    <row r="54" spans="1:22" hidden="1" x14ac:dyDescent="0.3">
      <c r="A54" s="66"/>
      <c r="B54" s="71"/>
      <c r="C54" s="66"/>
      <c r="D54" s="66"/>
      <c r="E54" s="66"/>
      <c r="F54" s="66"/>
      <c r="G54" s="66"/>
      <c r="H54" s="66"/>
      <c r="I54" s="66"/>
      <c r="J54" s="241"/>
      <c r="K54" s="241"/>
      <c r="L54" s="241"/>
      <c r="M54" s="241"/>
      <c r="N54" s="241"/>
      <c r="O54" s="241"/>
      <c r="P54" s="241"/>
      <c r="Q54" s="241"/>
      <c r="R54" s="241"/>
      <c r="S54" s="66"/>
      <c r="T54" s="66"/>
      <c r="U54" s="66"/>
      <c r="V54" s="66"/>
    </row>
    <row r="55" spans="1:22" hidden="1" x14ac:dyDescent="0.3">
      <c r="A55" s="66"/>
      <c r="B55" s="71"/>
      <c r="C55" s="66"/>
      <c r="D55" s="66"/>
      <c r="E55" s="66"/>
      <c r="F55" s="66"/>
      <c r="G55" s="66"/>
      <c r="H55" s="66"/>
      <c r="I55" s="66"/>
      <c r="J55" s="241"/>
      <c r="K55" s="241"/>
      <c r="L55" s="241"/>
      <c r="M55" s="241"/>
      <c r="N55" s="241"/>
      <c r="O55" s="241"/>
      <c r="P55" s="241"/>
      <c r="Q55" s="241"/>
      <c r="R55" s="241"/>
      <c r="S55" s="66"/>
      <c r="T55" s="66"/>
      <c r="U55" s="66"/>
      <c r="V55" s="66"/>
    </row>
    <row r="56" spans="1:22" hidden="1" x14ac:dyDescent="0.3">
      <c r="A56" s="66"/>
      <c r="B56" s="71"/>
      <c r="C56" s="66"/>
      <c r="D56" s="66"/>
      <c r="E56" s="66"/>
      <c r="F56" s="66"/>
      <c r="G56" s="66"/>
      <c r="H56" s="66"/>
      <c r="I56" s="66"/>
      <c r="J56" s="241"/>
      <c r="K56" s="241"/>
      <c r="L56" s="241"/>
      <c r="M56" s="241"/>
      <c r="N56" s="241"/>
      <c r="O56" s="241"/>
      <c r="P56" s="241"/>
      <c r="Q56" s="241"/>
      <c r="R56" s="241"/>
      <c r="S56" s="66"/>
      <c r="T56" s="66"/>
      <c r="U56" s="66"/>
      <c r="V56" s="66"/>
    </row>
    <row r="57" spans="1:22" hidden="1" x14ac:dyDescent="0.3">
      <c r="A57" s="66"/>
      <c r="B57" s="71"/>
      <c r="C57" s="66"/>
      <c r="D57" s="66"/>
      <c r="E57" s="66"/>
      <c r="F57" s="66"/>
      <c r="G57" s="66"/>
      <c r="H57" s="66"/>
      <c r="I57" s="66"/>
      <c r="J57" s="241"/>
      <c r="K57" s="241"/>
      <c r="L57" s="241"/>
      <c r="M57" s="241"/>
      <c r="N57" s="241"/>
      <c r="O57" s="241"/>
      <c r="P57" s="241"/>
      <c r="Q57" s="241"/>
      <c r="R57" s="241"/>
      <c r="S57" s="66"/>
      <c r="T57" s="66"/>
      <c r="U57" s="66"/>
      <c r="V57" s="66"/>
    </row>
    <row r="58" spans="1:22" hidden="1" x14ac:dyDescent="0.3">
      <c r="A58" s="66"/>
      <c r="B58" s="71"/>
      <c r="C58" s="66"/>
      <c r="D58" s="66"/>
      <c r="E58" s="66"/>
      <c r="F58" s="66"/>
      <c r="G58" s="66"/>
      <c r="H58" s="66"/>
      <c r="I58" s="66"/>
      <c r="J58" s="241"/>
      <c r="K58" s="241"/>
      <c r="L58" s="241"/>
      <c r="M58" s="241"/>
      <c r="N58" s="241"/>
      <c r="O58" s="241"/>
      <c r="P58" s="241"/>
      <c r="Q58" s="241"/>
      <c r="R58" s="241"/>
      <c r="S58" s="66"/>
      <c r="T58" s="66"/>
      <c r="U58" s="66"/>
      <c r="V58" s="66"/>
    </row>
    <row r="59" spans="1:22" hidden="1" x14ac:dyDescent="0.3">
      <c r="A59" s="66"/>
      <c r="B59" s="71"/>
      <c r="C59" s="66"/>
      <c r="D59" s="66"/>
      <c r="E59" s="66"/>
      <c r="F59" s="66"/>
      <c r="G59" s="66"/>
      <c r="H59" s="66"/>
      <c r="I59" s="66"/>
      <c r="J59" s="241"/>
      <c r="K59" s="241"/>
      <c r="L59" s="241"/>
      <c r="M59" s="241"/>
      <c r="N59" s="241"/>
      <c r="O59" s="241"/>
      <c r="P59" s="241"/>
      <c r="Q59" s="241"/>
      <c r="R59" s="241"/>
      <c r="S59" s="66"/>
      <c r="T59" s="66"/>
      <c r="U59" s="66"/>
      <c r="V59" s="66"/>
    </row>
    <row r="60" spans="1:22" hidden="1" x14ac:dyDescent="0.3">
      <c r="A60" s="66"/>
      <c r="B60" s="71"/>
      <c r="C60" s="66"/>
      <c r="D60" s="66"/>
      <c r="E60" s="66"/>
      <c r="F60" s="66"/>
      <c r="G60" s="66"/>
      <c r="H60" s="66"/>
      <c r="I60" s="66"/>
      <c r="J60" s="241"/>
      <c r="K60" s="241"/>
      <c r="L60" s="241"/>
      <c r="M60" s="241"/>
      <c r="N60" s="241"/>
      <c r="O60" s="241"/>
      <c r="P60" s="241"/>
      <c r="Q60" s="241"/>
      <c r="R60" s="241"/>
      <c r="S60" s="66"/>
      <c r="T60" s="66"/>
      <c r="U60" s="66"/>
      <c r="V60" s="66"/>
    </row>
    <row r="61" spans="1:22" hidden="1" x14ac:dyDescent="0.3">
      <c r="A61" s="66"/>
      <c r="B61" s="71"/>
      <c r="C61" s="66"/>
      <c r="D61" s="66"/>
      <c r="E61" s="66"/>
      <c r="F61" s="66"/>
      <c r="G61" s="66"/>
      <c r="H61" s="66"/>
      <c r="I61" s="66"/>
      <c r="J61" s="241"/>
      <c r="K61" s="241"/>
      <c r="L61" s="241"/>
      <c r="M61" s="241"/>
      <c r="N61" s="241"/>
      <c r="O61" s="241"/>
      <c r="P61" s="241"/>
      <c r="Q61" s="241"/>
      <c r="R61" s="241"/>
      <c r="S61" s="66"/>
      <c r="T61" s="66"/>
      <c r="U61" s="66"/>
      <c r="V61" s="66"/>
    </row>
    <row r="62" spans="1:22" hidden="1" x14ac:dyDescent="0.3">
      <c r="A62" s="66"/>
      <c r="B62" s="71"/>
      <c r="C62" s="66"/>
      <c r="D62" s="66"/>
      <c r="E62" s="66"/>
      <c r="F62" s="66"/>
      <c r="G62" s="66"/>
      <c r="H62" s="66"/>
      <c r="I62" s="66"/>
      <c r="J62" s="241"/>
      <c r="K62" s="241"/>
      <c r="L62" s="241"/>
      <c r="M62" s="241"/>
      <c r="N62" s="241"/>
      <c r="O62" s="241"/>
      <c r="P62" s="241"/>
      <c r="Q62" s="241"/>
      <c r="R62" s="241"/>
      <c r="S62" s="66"/>
      <c r="T62" s="66"/>
      <c r="U62" s="66"/>
      <c r="V62" s="66"/>
    </row>
    <row r="63" spans="1:22" hidden="1" x14ac:dyDescent="0.3">
      <c r="A63" s="66"/>
      <c r="B63" s="71"/>
      <c r="C63" s="66"/>
      <c r="D63" s="66"/>
      <c r="E63" s="66"/>
      <c r="F63" s="66"/>
      <c r="G63" s="66"/>
      <c r="H63" s="66"/>
      <c r="I63" s="66"/>
      <c r="J63" s="241"/>
      <c r="K63" s="241"/>
      <c r="L63" s="241"/>
      <c r="M63" s="241"/>
      <c r="N63" s="241"/>
      <c r="O63" s="241"/>
      <c r="P63" s="241"/>
      <c r="Q63" s="241"/>
      <c r="R63" s="241"/>
      <c r="S63" s="66"/>
      <c r="T63" s="66"/>
      <c r="U63" s="66"/>
      <c r="V63" s="66"/>
    </row>
    <row r="64" spans="1:22" hidden="1" x14ac:dyDescent="0.3">
      <c r="A64" s="66"/>
      <c r="B64" s="71"/>
      <c r="C64" s="66"/>
      <c r="D64" s="66"/>
      <c r="E64" s="66"/>
      <c r="F64" s="66"/>
      <c r="G64" s="66"/>
      <c r="H64" s="66"/>
      <c r="I64" s="66"/>
      <c r="J64" s="241"/>
      <c r="K64" s="241"/>
      <c r="L64" s="241"/>
      <c r="M64" s="241"/>
      <c r="N64" s="241"/>
      <c r="O64" s="241"/>
      <c r="P64" s="241"/>
      <c r="Q64" s="241"/>
      <c r="R64" s="241"/>
      <c r="S64" s="66"/>
      <c r="T64" s="66"/>
      <c r="U64" s="66"/>
      <c r="V64" s="66"/>
    </row>
    <row r="65" spans="1:22" hidden="1" x14ac:dyDescent="0.3">
      <c r="A65" s="66"/>
      <c r="B65" s="71"/>
      <c r="C65" s="66"/>
      <c r="D65" s="66"/>
      <c r="E65" s="66"/>
      <c r="F65" s="66"/>
      <c r="G65" s="66"/>
      <c r="H65" s="66"/>
      <c r="I65" s="66"/>
      <c r="J65" s="241"/>
      <c r="K65" s="241"/>
      <c r="L65" s="241"/>
      <c r="M65" s="241"/>
      <c r="N65" s="241"/>
      <c r="O65" s="241"/>
      <c r="P65" s="241"/>
      <c r="Q65" s="241"/>
      <c r="R65" s="241"/>
      <c r="S65" s="66"/>
      <c r="T65" s="66"/>
      <c r="U65" s="66"/>
      <c r="V65" s="66"/>
    </row>
    <row r="66" spans="1:22" hidden="1" x14ac:dyDescent="0.3">
      <c r="A66" s="66"/>
      <c r="B66" s="71"/>
      <c r="C66" s="66"/>
      <c r="D66" s="66"/>
      <c r="E66" s="66"/>
      <c r="F66" s="66"/>
      <c r="G66" s="66"/>
      <c r="H66" s="66"/>
      <c r="I66" s="66"/>
      <c r="J66" s="241"/>
      <c r="K66" s="241"/>
      <c r="L66" s="241"/>
      <c r="M66" s="241"/>
      <c r="N66" s="241"/>
      <c r="O66" s="241"/>
      <c r="P66" s="241"/>
      <c r="Q66" s="241"/>
      <c r="R66" s="241"/>
      <c r="S66" s="66"/>
      <c r="T66" s="66"/>
      <c r="U66" s="66"/>
      <c r="V66" s="66"/>
    </row>
    <row r="67" spans="1:22" hidden="1" x14ac:dyDescent="0.3">
      <c r="A67" s="66"/>
      <c r="B67" s="71"/>
      <c r="C67" s="66"/>
      <c r="D67" s="66"/>
      <c r="E67" s="66"/>
      <c r="F67" s="66"/>
      <c r="G67" s="66"/>
      <c r="H67" s="66"/>
      <c r="I67" s="66"/>
      <c r="J67" s="241"/>
      <c r="K67" s="241"/>
      <c r="L67" s="241"/>
      <c r="M67" s="241"/>
      <c r="N67" s="241"/>
      <c r="O67" s="241"/>
      <c r="P67" s="241"/>
      <c r="Q67" s="241"/>
      <c r="R67" s="241"/>
      <c r="S67" s="66"/>
      <c r="T67" s="66"/>
      <c r="U67" s="66"/>
      <c r="V67" s="66"/>
    </row>
    <row r="68" spans="1:22" hidden="1" x14ac:dyDescent="0.3">
      <c r="A68" s="66"/>
      <c r="B68" s="71"/>
      <c r="C68" s="66"/>
      <c r="D68" s="66"/>
      <c r="E68" s="66"/>
      <c r="F68" s="66"/>
      <c r="G68" s="66"/>
      <c r="H68" s="66"/>
      <c r="I68" s="66"/>
      <c r="J68" s="241"/>
      <c r="K68" s="241"/>
      <c r="L68" s="241"/>
      <c r="M68" s="241"/>
      <c r="N68" s="241"/>
      <c r="O68" s="241"/>
      <c r="P68" s="241"/>
      <c r="Q68" s="241"/>
      <c r="R68" s="241"/>
      <c r="S68" s="66"/>
      <c r="T68" s="66"/>
      <c r="U68" s="66"/>
      <c r="V68" s="66"/>
    </row>
    <row r="69" spans="1:22" hidden="1" x14ac:dyDescent="0.3">
      <c r="A69" s="66"/>
      <c r="B69" s="71"/>
      <c r="C69" s="66"/>
      <c r="D69" s="66"/>
      <c r="E69" s="66"/>
      <c r="F69" s="66"/>
      <c r="G69" s="66"/>
      <c r="H69" s="66"/>
      <c r="I69" s="66"/>
      <c r="J69" s="241"/>
      <c r="K69" s="241"/>
      <c r="L69" s="241"/>
      <c r="M69" s="241"/>
      <c r="N69" s="241"/>
      <c r="O69" s="241"/>
      <c r="P69" s="241"/>
      <c r="Q69" s="241"/>
      <c r="R69" s="241"/>
      <c r="S69" s="66"/>
      <c r="T69" s="66"/>
      <c r="U69" s="66"/>
      <c r="V69" s="66"/>
    </row>
    <row r="70" spans="1:22" hidden="1" x14ac:dyDescent="0.3">
      <c r="A70" s="66"/>
      <c r="B70" s="71"/>
      <c r="C70" s="66"/>
      <c r="D70" s="66"/>
      <c r="E70" s="66"/>
      <c r="F70" s="66"/>
      <c r="G70" s="66"/>
      <c r="H70" s="66"/>
      <c r="I70" s="66"/>
      <c r="J70" s="241"/>
      <c r="K70" s="241"/>
      <c r="L70" s="241"/>
      <c r="M70" s="241"/>
      <c r="N70" s="241"/>
      <c r="O70" s="241"/>
      <c r="P70" s="241"/>
      <c r="Q70" s="241"/>
      <c r="R70" s="241"/>
      <c r="S70" s="66"/>
      <c r="T70" s="66"/>
      <c r="U70" s="66"/>
      <c r="V70" s="66"/>
    </row>
    <row r="71" spans="1:22" hidden="1" x14ac:dyDescent="0.3">
      <c r="A71" s="66"/>
      <c r="B71" s="71"/>
      <c r="C71" s="66"/>
      <c r="D71" s="66"/>
      <c r="E71" s="66"/>
      <c r="F71" s="66"/>
      <c r="G71" s="66"/>
      <c r="H71" s="66"/>
      <c r="I71" s="66"/>
      <c r="J71" s="241"/>
      <c r="K71" s="241"/>
      <c r="L71" s="241"/>
      <c r="M71" s="241"/>
      <c r="N71" s="241"/>
      <c r="O71" s="241"/>
      <c r="P71" s="241"/>
      <c r="Q71" s="241"/>
      <c r="R71" s="241"/>
      <c r="S71" s="66"/>
      <c r="T71" s="66"/>
      <c r="U71" s="66"/>
      <c r="V71" s="66"/>
    </row>
    <row r="72" spans="1:22" hidden="1" x14ac:dyDescent="0.3">
      <c r="A72" s="66"/>
      <c r="B72" s="71"/>
      <c r="C72" s="66"/>
      <c r="D72" s="66"/>
      <c r="E72" s="66"/>
      <c r="F72" s="66"/>
      <c r="G72" s="66"/>
      <c r="H72" s="66"/>
      <c r="I72" s="66"/>
      <c r="J72" s="241"/>
      <c r="K72" s="241"/>
      <c r="L72" s="241"/>
      <c r="M72" s="241"/>
      <c r="N72" s="241"/>
      <c r="O72" s="241"/>
      <c r="P72" s="241"/>
      <c r="Q72" s="241"/>
      <c r="R72" s="241"/>
      <c r="S72" s="66"/>
      <c r="T72" s="66"/>
      <c r="U72" s="66"/>
      <c r="V72" s="66"/>
    </row>
    <row r="73" spans="1:22" hidden="1" x14ac:dyDescent="0.3">
      <c r="A73" s="66"/>
      <c r="B73" s="71"/>
      <c r="C73" s="66"/>
      <c r="D73" s="66"/>
      <c r="E73" s="66"/>
      <c r="F73" s="66"/>
      <c r="G73" s="66"/>
      <c r="H73" s="66"/>
      <c r="I73" s="66"/>
      <c r="J73" s="241"/>
      <c r="K73" s="241"/>
      <c r="L73" s="241"/>
      <c r="M73" s="241"/>
      <c r="N73" s="241"/>
      <c r="O73" s="241"/>
      <c r="P73" s="241"/>
      <c r="Q73" s="241"/>
      <c r="R73" s="241"/>
      <c r="S73" s="66"/>
      <c r="T73" s="66"/>
      <c r="U73" s="66"/>
      <c r="V73" s="66"/>
    </row>
    <row r="74" spans="1:22" hidden="1" x14ac:dyDescent="0.3">
      <c r="A74" s="66"/>
      <c r="B74" s="71"/>
      <c r="C74" s="66"/>
      <c r="D74" s="66"/>
      <c r="E74" s="66"/>
      <c r="F74" s="66"/>
      <c r="G74" s="66"/>
      <c r="H74" s="66"/>
      <c r="I74" s="66"/>
      <c r="J74" s="241"/>
      <c r="K74" s="241"/>
      <c r="L74" s="241"/>
      <c r="M74" s="241"/>
      <c r="N74" s="241"/>
      <c r="O74" s="241"/>
      <c r="P74" s="241"/>
      <c r="Q74" s="241"/>
      <c r="R74" s="241"/>
      <c r="S74" s="66"/>
      <c r="T74" s="66"/>
      <c r="U74" s="66"/>
      <c r="V74" s="66"/>
    </row>
    <row r="75" spans="1:22" hidden="1" x14ac:dyDescent="0.3">
      <c r="A75" s="66"/>
      <c r="B75" s="71"/>
      <c r="C75" s="66"/>
      <c r="D75" s="66"/>
      <c r="E75" s="66"/>
      <c r="F75" s="66"/>
      <c r="G75" s="66"/>
      <c r="H75" s="66"/>
      <c r="I75" s="66"/>
      <c r="J75" s="241"/>
      <c r="K75" s="241"/>
      <c r="L75" s="241"/>
      <c r="M75" s="241"/>
      <c r="N75" s="241"/>
      <c r="O75" s="241"/>
      <c r="P75" s="241"/>
      <c r="Q75" s="241"/>
      <c r="R75" s="241"/>
      <c r="S75" s="66"/>
      <c r="T75" s="66"/>
      <c r="U75" s="66"/>
      <c r="V75" s="66"/>
    </row>
    <row r="76" spans="1:22" hidden="1" x14ac:dyDescent="0.3">
      <c r="A76" s="66"/>
      <c r="B76" s="71"/>
      <c r="C76" s="66"/>
      <c r="D76" s="66"/>
      <c r="E76" s="66"/>
      <c r="F76" s="66"/>
      <c r="G76" s="66"/>
      <c r="H76" s="66"/>
      <c r="I76" s="66"/>
      <c r="J76" s="241"/>
      <c r="K76" s="241"/>
      <c r="L76" s="241"/>
      <c r="M76" s="241"/>
      <c r="N76" s="241"/>
      <c r="O76" s="241"/>
      <c r="P76" s="241"/>
      <c r="Q76" s="241"/>
      <c r="R76" s="241"/>
      <c r="S76" s="66"/>
      <c r="T76" s="66"/>
      <c r="U76" s="66"/>
      <c r="V76" s="66"/>
    </row>
    <row r="77" spans="1:22" hidden="1" x14ac:dyDescent="0.3">
      <c r="A77" s="66"/>
      <c r="B77" s="71"/>
      <c r="C77" s="66"/>
      <c r="D77" s="66"/>
      <c r="E77" s="66"/>
      <c r="F77" s="66"/>
      <c r="G77" s="66"/>
      <c r="H77" s="66"/>
      <c r="I77" s="66"/>
      <c r="J77" s="241"/>
      <c r="K77" s="241"/>
      <c r="L77" s="241"/>
      <c r="M77" s="241"/>
      <c r="N77" s="241"/>
      <c r="O77" s="241"/>
      <c r="P77" s="241"/>
      <c r="Q77" s="241"/>
      <c r="R77" s="241"/>
      <c r="S77" s="66"/>
      <c r="T77" s="66"/>
      <c r="U77" s="66"/>
      <c r="V77" s="66"/>
    </row>
    <row r="78" spans="1:22" hidden="1" x14ac:dyDescent="0.3">
      <c r="A78" s="66"/>
      <c r="B78" s="71"/>
      <c r="C78" s="66"/>
      <c r="D78" s="66"/>
      <c r="E78" s="66"/>
      <c r="F78" s="66"/>
      <c r="G78" s="66"/>
      <c r="H78" s="66"/>
      <c r="I78" s="66"/>
      <c r="J78" s="241"/>
      <c r="K78" s="241"/>
      <c r="L78" s="241"/>
      <c r="M78" s="241"/>
      <c r="N78" s="241"/>
      <c r="O78" s="241"/>
      <c r="P78" s="241"/>
      <c r="Q78" s="241"/>
      <c r="R78" s="241"/>
      <c r="S78" s="66"/>
      <c r="T78" s="66"/>
      <c r="U78" s="66"/>
      <c r="V78" s="66"/>
    </row>
    <row r="79" spans="1:22" hidden="1" x14ac:dyDescent="0.3">
      <c r="A79" s="66"/>
      <c r="B79" s="71"/>
      <c r="C79" s="66"/>
      <c r="D79" s="66"/>
      <c r="E79" s="66"/>
      <c r="F79" s="66"/>
      <c r="G79" s="66"/>
      <c r="H79" s="66"/>
      <c r="I79" s="66"/>
      <c r="J79" s="241"/>
      <c r="K79" s="241"/>
      <c r="L79" s="241"/>
      <c r="M79" s="241"/>
      <c r="N79" s="241"/>
      <c r="O79" s="241"/>
      <c r="P79" s="241"/>
      <c r="Q79" s="241"/>
      <c r="R79" s="241"/>
      <c r="S79" s="66"/>
      <c r="T79" s="66"/>
      <c r="U79" s="66"/>
      <c r="V79" s="66"/>
    </row>
    <row r="80" spans="1:22" hidden="1" x14ac:dyDescent="0.3">
      <c r="A80" s="66"/>
      <c r="B80" s="71"/>
      <c r="C80" s="66"/>
      <c r="D80" s="66"/>
      <c r="E80" s="66"/>
      <c r="F80" s="66"/>
      <c r="G80" s="66"/>
      <c r="H80" s="66"/>
      <c r="I80" s="66"/>
      <c r="J80" s="241"/>
      <c r="K80" s="241"/>
      <c r="L80" s="241"/>
      <c r="M80" s="241"/>
      <c r="N80" s="241"/>
      <c r="O80" s="241"/>
      <c r="P80" s="241"/>
      <c r="Q80" s="241"/>
      <c r="R80" s="241"/>
      <c r="S80" s="66"/>
      <c r="T80" s="66"/>
      <c r="U80" s="66"/>
      <c r="V80" s="66"/>
    </row>
    <row r="81" spans="1:22" hidden="1" x14ac:dyDescent="0.3">
      <c r="A81" s="66"/>
      <c r="B81" s="71"/>
      <c r="C81" s="66"/>
      <c r="D81" s="66"/>
      <c r="E81" s="66"/>
      <c r="F81" s="66"/>
      <c r="G81" s="66"/>
      <c r="H81" s="66"/>
      <c r="I81" s="66"/>
      <c r="J81" s="241"/>
      <c r="K81" s="241"/>
      <c r="L81" s="241"/>
      <c r="M81" s="241"/>
      <c r="N81" s="241"/>
      <c r="O81" s="241"/>
      <c r="P81" s="241"/>
      <c r="Q81" s="241"/>
      <c r="R81" s="241"/>
      <c r="S81" s="66"/>
      <c r="T81" s="66"/>
      <c r="U81" s="66"/>
      <c r="V81" s="66"/>
    </row>
    <row r="82" spans="1:22" hidden="1" x14ac:dyDescent="0.3">
      <c r="A82" s="66"/>
      <c r="B82" s="71"/>
      <c r="C82" s="66"/>
      <c r="D82" s="66"/>
      <c r="E82" s="66"/>
      <c r="F82" s="66"/>
      <c r="G82" s="66"/>
      <c r="H82" s="66"/>
      <c r="I82" s="66"/>
      <c r="J82" s="241"/>
      <c r="K82" s="241"/>
      <c r="L82" s="241"/>
      <c r="M82" s="241"/>
      <c r="N82" s="241"/>
      <c r="O82" s="241"/>
      <c r="P82" s="241"/>
      <c r="Q82" s="241"/>
      <c r="R82" s="241"/>
      <c r="S82" s="66"/>
      <c r="T82" s="66"/>
      <c r="U82" s="66"/>
      <c r="V82" s="66"/>
    </row>
    <row r="83" spans="1:22" hidden="1" x14ac:dyDescent="0.3">
      <c r="A83" s="66"/>
      <c r="B83" s="71"/>
      <c r="C83" s="66"/>
      <c r="D83" s="66"/>
      <c r="E83" s="66"/>
      <c r="F83" s="66"/>
      <c r="G83" s="66"/>
      <c r="H83" s="66"/>
      <c r="I83" s="66"/>
      <c r="J83" s="241"/>
      <c r="K83" s="241"/>
      <c r="L83" s="241"/>
      <c r="M83" s="241"/>
      <c r="N83" s="241"/>
      <c r="O83" s="241"/>
      <c r="P83" s="241"/>
      <c r="Q83" s="241"/>
      <c r="R83" s="241"/>
      <c r="S83" s="66"/>
      <c r="T83" s="66"/>
      <c r="U83" s="66"/>
      <c r="V83" s="66"/>
    </row>
    <row r="84" spans="1:22" hidden="1" x14ac:dyDescent="0.3">
      <c r="A84" s="66"/>
      <c r="B84" s="71"/>
      <c r="C84" s="66"/>
      <c r="D84" s="66"/>
      <c r="E84" s="66"/>
      <c r="F84" s="66"/>
      <c r="G84" s="66"/>
      <c r="H84" s="66"/>
      <c r="I84" s="66"/>
      <c r="J84" s="241"/>
      <c r="K84" s="241"/>
      <c r="L84" s="241"/>
      <c r="M84" s="241"/>
      <c r="N84" s="241"/>
      <c r="O84" s="241"/>
      <c r="P84" s="241"/>
      <c r="Q84" s="241"/>
      <c r="R84" s="241"/>
      <c r="S84" s="66"/>
      <c r="T84" s="66"/>
      <c r="U84" s="66"/>
      <c r="V84" s="66"/>
    </row>
    <row r="85" spans="1:22" hidden="1" x14ac:dyDescent="0.3">
      <c r="A85" s="66"/>
      <c r="B85" s="71"/>
      <c r="C85" s="66"/>
      <c r="D85" s="66"/>
      <c r="E85" s="66"/>
      <c r="F85" s="66"/>
      <c r="G85" s="66"/>
      <c r="H85" s="66"/>
      <c r="I85" s="66"/>
      <c r="J85" s="241"/>
      <c r="K85" s="241"/>
      <c r="L85" s="241"/>
      <c r="M85" s="241"/>
      <c r="N85" s="241"/>
      <c r="O85" s="241"/>
      <c r="P85" s="241"/>
      <c r="Q85" s="241"/>
      <c r="R85" s="241"/>
      <c r="S85" s="66"/>
      <c r="T85" s="66"/>
      <c r="U85" s="66"/>
      <c r="V85" s="66"/>
    </row>
    <row r="86" spans="1:22" hidden="1" x14ac:dyDescent="0.3">
      <c r="A86" s="66"/>
      <c r="B86" s="71"/>
      <c r="C86" s="66"/>
      <c r="D86" s="66"/>
      <c r="E86" s="66"/>
      <c r="F86" s="66"/>
      <c r="G86" s="66"/>
      <c r="H86" s="66"/>
      <c r="I86" s="66"/>
      <c r="J86" s="241"/>
      <c r="K86" s="241"/>
      <c r="L86" s="241"/>
      <c r="M86" s="241"/>
      <c r="N86" s="241"/>
      <c r="O86" s="241"/>
      <c r="P86" s="241"/>
      <c r="Q86" s="241"/>
      <c r="R86" s="241"/>
      <c r="S86" s="66"/>
      <c r="T86" s="66"/>
      <c r="U86" s="66"/>
      <c r="V86" s="66"/>
    </row>
    <row r="87" spans="1:22" hidden="1" x14ac:dyDescent="0.3">
      <c r="A87" s="66"/>
      <c r="B87" s="71"/>
      <c r="C87" s="66"/>
      <c r="D87" s="66"/>
      <c r="E87" s="66"/>
      <c r="F87" s="66"/>
      <c r="G87" s="66"/>
      <c r="H87" s="66"/>
      <c r="I87" s="66"/>
      <c r="J87" s="241"/>
      <c r="K87" s="241"/>
      <c r="L87" s="241"/>
      <c r="M87" s="241"/>
      <c r="N87" s="241"/>
      <c r="O87" s="241"/>
      <c r="P87" s="241"/>
      <c r="Q87" s="241"/>
      <c r="R87" s="241"/>
      <c r="S87" s="66"/>
      <c r="T87" s="66"/>
      <c r="U87" s="66"/>
      <c r="V87" s="66"/>
    </row>
    <row r="88" spans="1:22" hidden="1" x14ac:dyDescent="0.3">
      <c r="A88" s="66"/>
      <c r="B88" s="71"/>
      <c r="C88" s="66"/>
      <c r="D88" s="66"/>
      <c r="E88" s="66"/>
      <c r="F88" s="66"/>
      <c r="G88" s="66"/>
      <c r="H88" s="66"/>
      <c r="I88" s="66"/>
      <c r="J88" s="241"/>
      <c r="K88" s="241"/>
      <c r="L88" s="241"/>
      <c r="M88" s="241"/>
      <c r="N88" s="241"/>
      <c r="O88" s="241"/>
      <c r="P88" s="241"/>
      <c r="Q88" s="241"/>
      <c r="R88" s="241"/>
      <c r="S88" s="66"/>
      <c r="T88" s="66"/>
      <c r="U88" s="66"/>
      <c r="V88" s="66"/>
    </row>
    <row r="89" spans="1:22" hidden="1" x14ac:dyDescent="0.3">
      <c r="A89" s="66"/>
      <c r="B89" s="71"/>
      <c r="C89" s="66"/>
      <c r="D89" s="66"/>
      <c r="E89" s="66"/>
      <c r="F89" s="66"/>
      <c r="G89" s="66"/>
      <c r="H89" s="66"/>
      <c r="I89" s="66"/>
      <c r="J89" s="241"/>
      <c r="K89" s="241"/>
      <c r="L89" s="241"/>
      <c r="M89" s="241"/>
      <c r="N89" s="241"/>
      <c r="O89" s="241"/>
      <c r="P89" s="241"/>
      <c r="Q89" s="241"/>
      <c r="R89" s="241"/>
      <c r="S89" s="66"/>
      <c r="T89" s="66"/>
      <c r="U89" s="66"/>
      <c r="V89" s="66"/>
    </row>
    <row r="90" spans="1:22" hidden="1" x14ac:dyDescent="0.3">
      <c r="A90" s="66"/>
      <c r="B90" s="71"/>
      <c r="C90" s="66"/>
      <c r="D90" s="66"/>
      <c r="E90" s="66"/>
      <c r="F90" s="66"/>
      <c r="G90" s="66"/>
      <c r="H90" s="66"/>
      <c r="I90" s="66"/>
      <c r="J90" s="241"/>
      <c r="K90" s="241"/>
      <c r="L90" s="241"/>
      <c r="M90" s="241"/>
      <c r="N90" s="241"/>
      <c r="O90" s="241"/>
      <c r="P90" s="241"/>
      <c r="Q90" s="241"/>
      <c r="R90" s="241"/>
      <c r="S90" s="66"/>
      <c r="T90" s="66"/>
      <c r="U90" s="66"/>
      <c r="V90" s="66"/>
    </row>
    <row r="91" spans="1:22" hidden="1" x14ac:dyDescent="0.3">
      <c r="A91" s="66"/>
      <c r="B91" s="71"/>
      <c r="C91" s="66"/>
      <c r="D91" s="66"/>
      <c r="E91" s="66"/>
      <c r="F91" s="66"/>
      <c r="G91" s="66"/>
      <c r="H91" s="66"/>
      <c r="I91" s="66"/>
      <c r="J91" s="241"/>
      <c r="K91" s="241"/>
      <c r="L91" s="241"/>
      <c r="M91" s="241"/>
      <c r="N91" s="241"/>
      <c r="O91" s="241"/>
      <c r="P91" s="241"/>
      <c r="Q91" s="241"/>
      <c r="R91" s="241"/>
      <c r="S91" s="66"/>
      <c r="T91" s="66"/>
      <c r="U91" s="66"/>
      <c r="V91" s="66"/>
    </row>
    <row r="92" spans="1:22" hidden="1" x14ac:dyDescent="0.3">
      <c r="A92" s="66"/>
      <c r="B92" s="71"/>
      <c r="C92" s="66"/>
      <c r="D92" s="66"/>
      <c r="E92" s="66"/>
      <c r="F92" s="66"/>
      <c r="G92" s="66"/>
      <c r="H92" s="66"/>
      <c r="I92" s="66"/>
      <c r="J92" s="241"/>
      <c r="K92" s="241"/>
      <c r="L92" s="241"/>
      <c r="M92" s="241"/>
      <c r="N92" s="241"/>
      <c r="O92" s="241"/>
      <c r="P92" s="241"/>
      <c r="Q92" s="241"/>
      <c r="R92" s="241"/>
      <c r="S92" s="66"/>
      <c r="T92" s="66"/>
      <c r="U92" s="66"/>
      <c r="V92" s="66"/>
    </row>
    <row r="93" spans="1:22" hidden="1" x14ac:dyDescent="0.3">
      <c r="A93" s="66"/>
      <c r="B93" s="71"/>
      <c r="C93" s="66"/>
      <c r="D93" s="66"/>
      <c r="E93" s="66"/>
      <c r="F93" s="66"/>
      <c r="G93" s="66"/>
      <c r="H93" s="66"/>
      <c r="I93" s="66"/>
      <c r="J93" s="241"/>
      <c r="K93" s="241"/>
      <c r="L93" s="241"/>
      <c r="M93" s="241"/>
      <c r="N93" s="241"/>
      <c r="O93" s="241"/>
      <c r="P93" s="241"/>
      <c r="Q93" s="241"/>
      <c r="R93" s="241"/>
      <c r="S93" s="66"/>
      <c r="T93" s="66"/>
      <c r="U93" s="66"/>
      <c r="V93" s="66"/>
    </row>
    <row r="94" spans="1:22" hidden="1" x14ac:dyDescent="0.3">
      <c r="A94" s="66"/>
      <c r="B94" s="71"/>
      <c r="C94" s="66"/>
      <c r="D94" s="66"/>
      <c r="E94" s="66"/>
      <c r="F94" s="66"/>
      <c r="G94" s="66"/>
      <c r="H94" s="66"/>
      <c r="I94" s="66"/>
      <c r="J94" s="241"/>
      <c r="K94" s="241"/>
      <c r="L94" s="241"/>
      <c r="M94" s="241"/>
      <c r="N94" s="241"/>
      <c r="O94" s="241"/>
      <c r="P94" s="241"/>
      <c r="Q94" s="241"/>
      <c r="R94" s="241"/>
      <c r="S94" s="66"/>
      <c r="T94" s="66"/>
      <c r="U94" s="66"/>
      <c r="V94" s="66"/>
    </row>
    <row r="95" spans="1:22" hidden="1" x14ac:dyDescent="0.3">
      <c r="A95" s="66"/>
      <c r="B95" s="71"/>
      <c r="C95" s="66"/>
      <c r="D95" s="66"/>
      <c r="E95" s="66"/>
      <c r="F95" s="66"/>
      <c r="G95" s="66"/>
      <c r="H95" s="66"/>
      <c r="I95" s="66"/>
      <c r="J95" s="241"/>
      <c r="K95" s="241"/>
      <c r="L95" s="241"/>
      <c r="M95" s="241"/>
      <c r="N95" s="241"/>
      <c r="O95" s="241"/>
      <c r="P95" s="241"/>
      <c r="Q95" s="241"/>
      <c r="R95" s="241"/>
      <c r="S95" s="66"/>
      <c r="T95" s="66"/>
      <c r="U95" s="66"/>
      <c r="V95" s="66"/>
    </row>
    <row r="96" spans="1:22" hidden="1" x14ac:dyDescent="0.3">
      <c r="A96" s="66"/>
      <c r="B96" s="71"/>
      <c r="C96" s="66"/>
      <c r="D96" s="66"/>
      <c r="E96" s="66"/>
      <c r="F96" s="66"/>
      <c r="G96" s="66"/>
      <c r="H96" s="66"/>
      <c r="I96" s="66"/>
      <c r="J96" s="241"/>
      <c r="K96" s="241"/>
      <c r="L96" s="241"/>
      <c r="M96" s="241"/>
      <c r="N96" s="241"/>
      <c r="O96" s="241"/>
      <c r="P96" s="241"/>
      <c r="Q96" s="241"/>
      <c r="R96" s="241"/>
      <c r="S96" s="66"/>
      <c r="T96" s="66"/>
      <c r="U96" s="66"/>
      <c r="V96" s="66"/>
    </row>
    <row r="97" spans="1:22" hidden="1" x14ac:dyDescent="0.3">
      <c r="A97" s="66"/>
      <c r="B97" s="71"/>
      <c r="C97" s="66"/>
      <c r="D97" s="66"/>
      <c r="E97" s="66"/>
      <c r="F97" s="66"/>
      <c r="G97" s="66"/>
      <c r="H97" s="66"/>
      <c r="I97" s="66"/>
      <c r="J97" s="241"/>
      <c r="K97" s="241"/>
      <c r="L97" s="241"/>
      <c r="M97" s="241"/>
      <c r="N97" s="241"/>
      <c r="O97" s="241"/>
      <c r="P97" s="241"/>
      <c r="Q97" s="241"/>
      <c r="R97" s="241"/>
      <c r="S97" s="66"/>
      <c r="T97" s="66"/>
      <c r="U97" s="66"/>
      <c r="V97" s="66"/>
    </row>
    <row r="98" spans="1:22" hidden="1" x14ac:dyDescent="0.3">
      <c r="A98" s="66"/>
      <c r="B98" s="71"/>
      <c r="C98" s="66"/>
      <c r="D98" s="66"/>
      <c r="E98" s="66"/>
      <c r="F98" s="66"/>
      <c r="G98" s="66"/>
      <c r="H98" s="66"/>
      <c r="I98" s="66"/>
      <c r="J98" s="241"/>
      <c r="K98" s="241"/>
      <c r="L98" s="241"/>
      <c r="M98" s="241"/>
      <c r="N98" s="241"/>
      <c r="O98" s="241"/>
      <c r="P98" s="241"/>
      <c r="Q98" s="241"/>
      <c r="R98" s="241"/>
      <c r="S98" s="66"/>
      <c r="T98" s="66"/>
      <c r="U98" s="66"/>
      <c r="V98" s="66"/>
    </row>
    <row r="99" spans="1:22" hidden="1" x14ac:dyDescent="0.3">
      <c r="A99" s="66"/>
      <c r="B99" s="71"/>
      <c r="C99" s="66"/>
      <c r="D99" s="66"/>
      <c r="E99" s="66"/>
      <c r="F99" s="66"/>
      <c r="G99" s="66"/>
      <c r="H99" s="66"/>
      <c r="I99" s="66"/>
      <c r="J99" s="241"/>
      <c r="K99" s="241"/>
      <c r="L99" s="241"/>
      <c r="M99" s="241"/>
      <c r="N99" s="241"/>
      <c r="O99" s="241"/>
      <c r="P99" s="241"/>
      <c r="Q99" s="241"/>
      <c r="R99" s="241"/>
      <c r="S99" s="66"/>
      <c r="T99" s="66"/>
      <c r="U99" s="66"/>
      <c r="V99" s="66"/>
    </row>
    <row r="100" spans="1:22" hidden="1" x14ac:dyDescent="0.3">
      <c r="A100" s="66"/>
      <c r="B100" s="71"/>
      <c r="C100" s="66"/>
      <c r="D100" s="66"/>
      <c r="E100" s="66"/>
      <c r="F100" s="66"/>
      <c r="G100" s="66"/>
      <c r="H100" s="66"/>
      <c r="I100" s="66"/>
      <c r="J100" s="241"/>
      <c r="K100" s="241"/>
      <c r="L100" s="241"/>
      <c r="M100" s="241"/>
      <c r="N100" s="241"/>
      <c r="O100" s="241"/>
      <c r="P100" s="241"/>
      <c r="Q100" s="241"/>
      <c r="R100" s="241"/>
      <c r="S100" s="66"/>
      <c r="T100" s="66"/>
      <c r="U100" s="66"/>
      <c r="V100" s="66"/>
    </row>
    <row r="101" spans="1:22" hidden="1" x14ac:dyDescent="0.3">
      <c r="A101" s="66"/>
      <c r="B101" s="71"/>
      <c r="C101" s="66"/>
      <c r="D101" s="66"/>
      <c r="E101" s="66"/>
      <c r="F101" s="66"/>
      <c r="G101" s="66"/>
      <c r="H101" s="66"/>
      <c r="I101" s="66"/>
      <c r="J101" s="241"/>
      <c r="K101" s="241"/>
      <c r="L101" s="241"/>
      <c r="M101" s="241"/>
      <c r="N101" s="241"/>
      <c r="O101" s="241"/>
      <c r="P101" s="241"/>
      <c r="Q101" s="241"/>
      <c r="R101" s="241"/>
      <c r="S101" s="66"/>
      <c r="T101" s="66"/>
      <c r="U101" s="66"/>
      <c r="V101" s="66"/>
    </row>
    <row r="102" spans="1:22" hidden="1" x14ac:dyDescent="0.3">
      <c r="A102" s="66"/>
      <c r="B102" s="71"/>
      <c r="C102" s="66"/>
      <c r="D102" s="66"/>
      <c r="E102" s="66"/>
      <c r="F102" s="66"/>
      <c r="G102" s="66"/>
      <c r="H102" s="66"/>
      <c r="I102" s="66"/>
      <c r="J102" s="241"/>
      <c r="K102" s="241"/>
      <c r="L102" s="241"/>
      <c r="M102" s="241"/>
      <c r="N102" s="241"/>
      <c r="O102" s="241"/>
      <c r="P102" s="241"/>
      <c r="Q102" s="241"/>
      <c r="R102" s="241"/>
      <c r="S102" s="66"/>
      <c r="T102" s="66"/>
      <c r="U102" s="66"/>
      <c r="V102" s="66"/>
    </row>
    <row r="103" spans="1:22" hidden="1" x14ac:dyDescent="0.3">
      <c r="A103" s="66"/>
      <c r="B103" s="71"/>
      <c r="C103" s="66"/>
      <c r="D103" s="66"/>
      <c r="E103" s="66"/>
      <c r="F103" s="66"/>
      <c r="G103" s="66"/>
      <c r="H103" s="66"/>
      <c r="I103" s="66"/>
      <c r="J103" s="241"/>
      <c r="K103" s="241"/>
      <c r="L103" s="241"/>
      <c r="M103" s="241"/>
      <c r="N103" s="241"/>
      <c r="O103" s="241"/>
      <c r="P103" s="241"/>
      <c r="Q103" s="241"/>
      <c r="R103" s="241"/>
      <c r="S103" s="66"/>
      <c r="T103" s="66"/>
      <c r="U103" s="66"/>
      <c r="V103" s="66"/>
    </row>
    <row r="104" spans="1:22" hidden="1" x14ac:dyDescent="0.3">
      <c r="A104" s="66"/>
      <c r="B104" s="71"/>
      <c r="C104" s="66"/>
      <c r="D104" s="66"/>
      <c r="E104" s="66"/>
      <c r="F104" s="66"/>
      <c r="G104" s="66"/>
      <c r="H104" s="66"/>
      <c r="I104" s="66"/>
      <c r="J104" s="241"/>
      <c r="K104" s="241"/>
      <c r="L104" s="241"/>
      <c r="M104" s="241"/>
      <c r="N104" s="241"/>
      <c r="O104" s="241"/>
      <c r="P104" s="241"/>
      <c r="Q104" s="241"/>
      <c r="R104" s="241"/>
      <c r="S104" s="66"/>
      <c r="T104" s="66"/>
      <c r="U104" s="66"/>
      <c r="V104" s="66"/>
    </row>
    <row r="105" spans="1:22" hidden="1" x14ac:dyDescent="0.3">
      <c r="A105" s="66"/>
      <c r="B105" s="71"/>
      <c r="C105" s="66"/>
      <c r="D105" s="66"/>
      <c r="E105" s="66"/>
      <c r="F105" s="66"/>
      <c r="G105" s="66"/>
      <c r="H105" s="66"/>
      <c r="I105" s="66"/>
      <c r="J105" s="241"/>
      <c r="K105" s="241"/>
      <c r="L105" s="241"/>
      <c r="M105" s="241"/>
      <c r="N105" s="241"/>
      <c r="O105" s="241"/>
      <c r="P105" s="241"/>
      <c r="Q105" s="241"/>
      <c r="R105" s="241"/>
      <c r="S105" s="66"/>
      <c r="T105" s="66"/>
      <c r="U105" s="66"/>
      <c r="V105" s="66"/>
    </row>
    <row r="106" spans="1:22" hidden="1" x14ac:dyDescent="0.3">
      <c r="A106" s="66"/>
      <c r="B106" s="71"/>
      <c r="C106" s="66"/>
      <c r="D106" s="66"/>
      <c r="E106" s="66"/>
      <c r="F106" s="66"/>
      <c r="G106" s="66"/>
      <c r="H106" s="66"/>
      <c r="I106" s="66"/>
      <c r="J106" s="241"/>
      <c r="K106" s="241"/>
      <c r="L106" s="241"/>
      <c r="M106" s="241"/>
      <c r="N106" s="241"/>
      <c r="O106" s="241"/>
      <c r="P106" s="241"/>
      <c r="Q106" s="241"/>
      <c r="R106" s="241"/>
      <c r="S106" s="66"/>
      <c r="T106" s="66"/>
      <c r="U106" s="66"/>
      <c r="V106" s="66"/>
    </row>
    <row r="107" spans="1:22" hidden="1" x14ac:dyDescent="0.3">
      <c r="A107" s="66"/>
      <c r="B107" s="71"/>
      <c r="C107" s="66"/>
      <c r="D107" s="66"/>
      <c r="E107" s="66"/>
      <c r="F107" s="66"/>
      <c r="G107" s="66"/>
      <c r="H107" s="66"/>
      <c r="I107" s="66"/>
      <c r="J107" s="241"/>
      <c r="K107" s="241"/>
      <c r="L107" s="241"/>
      <c r="M107" s="241"/>
      <c r="N107" s="241"/>
      <c r="O107" s="241"/>
      <c r="P107" s="241"/>
      <c r="Q107" s="241"/>
      <c r="R107" s="241"/>
      <c r="S107" s="66"/>
      <c r="T107" s="66"/>
      <c r="U107" s="66"/>
      <c r="V107" s="66"/>
    </row>
    <row r="108" spans="1:22" hidden="1" x14ac:dyDescent="0.3">
      <c r="A108" s="66"/>
      <c r="B108" s="71"/>
      <c r="C108" s="66"/>
      <c r="D108" s="66"/>
      <c r="E108" s="66"/>
      <c r="F108" s="66"/>
      <c r="G108" s="66"/>
      <c r="H108" s="66"/>
      <c r="I108" s="66"/>
      <c r="J108" s="241"/>
      <c r="K108" s="241"/>
      <c r="L108" s="241"/>
      <c r="M108" s="241"/>
      <c r="N108" s="241"/>
      <c r="O108" s="241"/>
      <c r="P108" s="241"/>
      <c r="Q108" s="241"/>
      <c r="R108" s="241"/>
      <c r="S108" s="66"/>
      <c r="T108" s="66"/>
      <c r="U108" s="66"/>
      <c r="V108" s="66"/>
    </row>
    <row r="109" spans="1:22" hidden="1" x14ac:dyDescent="0.3">
      <c r="A109" s="66"/>
      <c r="B109" s="71"/>
      <c r="C109" s="66"/>
      <c r="D109" s="66"/>
      <c r="E109" s="66"/>
      <c r="F109" s="66"/>
      <c r="G109" s="66"/>
      <c r="H109" s="66"/>
      <c r="I109" s="66"/>
      <c r="J109" s="241"/>
      <c r="K109" s="241"/>
      <c r="L109" s="241"/>
      <c r="M109" s="241"/>
      <c r="N109" s="241"/>
      <c r="O109" s="241"/>
      <c r="P109" s="241"/>
      <c r="Q109" s="241"/>
      <c r="R109" s="241"/>
      <c r="S109" s="66"/>
      <c r="T109" s="66"/>
      <c r="U109" s="66"/>
      <c r="V109" s="66"/>
    </row>
    <row r="110" spans="1:22" hidden="1" x14ac:dyDescent="0.3">
      <c r="A110" s="66"/>
      <c r="B110" s="71"/>
      <c r="C110" s="66"/>
      <c r="D110" s="66"/>
      <c r="E110" s="66"/>
      <c r="F110" s="66"/>
      <c r="G110" s="66"/>
      <c r="H110" s="66"/>
      <c r="I110" s="66"/>
      <c r="J110" s="241"/>
      <c r="K110" s="241"/>
      <c r="L110" s="241"/>
      <c r="M110" s="241"/>
      <c r="N110" s="241"/>
      <c r="O110" s="241"/>
      <c r="P110" s="241"/>
      <c r="Q110" s="241"/>
      <c r="R110" s="241"/>
      <c r="S110" s="66"/>
      <c r="T110" s="66"/>
      <c r="U110" s="66"/>
      <c r="V110" s="66"/>
    </row>
    <row r="111" spans="1:22" hidden="1" x14ac:dyDescent="0.3">
      <c r="A111" s="66"/>
      <c r="B111" s="71"/>
      <c r="C111" s="66"/>
      <c r="D111" s="66"/>
      <c r="E111" s="66"/>
      <c r="F111" s="66"/>
      <c r="G111" s="66"/>
      <c r="H111" s="66"/>
      <c r="I111" s="66"/>
      <c r="J111" s="241"/>
      <c r="K111" s="241"/>
      <c r="L111" s="241"/>
      <c r="M111" s="241"/>
      <c r="N111" s="241"/>
      <c r="O111" s="241"/>
      <c r="P111" s="241"/>
      <c r="Q111" s="241"/>
      <c r="R111" s="241"/>
      <c r="S111" s="66"/>
      <c r="T111" s="66"/>
      <c r="U111" s="66"/>
      <c r="V111" s="66"/>
    </row>
    <row r="112" spans="1:22" hidden="1" x14ac:dyDescent="0.3">
      <c r="A112" s="66"/>
      <c r="B112" s="71"/>
      <c r="C112" s="66"/>
      <c r="D112" s="66"/>
      <c r="E112" s="66"/>
      <c r="F112" s="66"/>
      <c r="G112" s="66"/>
      <c r="H112" s="66"/>
      <c r="I112" s="66"/>
      <c r="J112" s="241"/>
      <c r="K112" s="241"/>
      <c r="L112" s="241"/>
      <c r="M112" s="241"/>
      <c r="N112" s="241"/>
      <c r="O112" s="241"/>
      <c r="P112" s="241"/>
      <c r="Q112" s="241"/>
      <c r="R112" s="241"/>
      <c r="S112" s="66"/>
      <c r="T112" s="66"/>
      <c r="U112" s="66"/>
      <c r="V112" s="66"/>
    </row>
    <row r="113" spans="1:22" hidden="1" x14ac:dyDescent="0.3">
      <c r="A113" s="66"/>
      <c r="B113" s="71"/>
      <c r="C113" s="66"/>
      <c r="D113" s="66"/>
      <c r="E113" s="66"/>
      <c r="F113" s="66"/>
      <c r="G113" s="66"/>
      <c r="H113" s="66"/>
      <c r="I113" s="66"/>
      <c r="J113" s="241"/>
      <c r="K113" s="241"/>
      <c r="L113" s="241"/>
      <c r="M113" s="241"/>
      <c r="N113" s="241"/>
      <c r="O113" s="241"/>
      <c r="P113" s="241"/>
      <c r="Q113" s="241"/>
      <c r="R113" s="241"/>
      <c r="S113" s="66"/>
      <c r="T113" s="66"/>
      <c r="U113" s="66"/>
      <c r="V113" s="66"/>
    </row>
    <row r="114" spans="1:22" hidden="1" x14ac:dyDescent="0.3">
      <c r="A114" s="66"/>
      <c r="B114" s="71"/>
      <c r="C114" s="66"/>
      <c r="D114" s="66"/>
      <c r="E114" s="66"/>
      <c r="F114" s="66"/>
      <c r="G114" s="66"/>
      <c r="H114" s="66"/>
      <c r="I114" s="66"/>
      <c r="J114" s="241"/>
      <c r="K114" s="241"/>
      <c r="L114" s="241"/>
      <c r="M114" s="241"/>
      <c r="N114" s="241"/>
      <c r="O114" s="241"/>
      <c r="P114" s="241"/>
      <c r="Q114" s="241"/>
      <c r="R114" s="241"/>
      <c r="S114" s="66"/>
      <c r="T114" s="66"/>
      <c r="U114" s="66"/>
      <c r="V114" s="66"/>
    </row>
    <row r="115" spans="1:22" hidden="1" x14ac:dyDescent="0.3">
      <c r="A115" s="66"/>
      <c r="B115" s="71"/>
      <c r="C115" s="66"/>
      <c r="D115" s="66"/>
      <c r="E115" s="66"/>
      <c r="F115" s="66"/>
      <c r="G115" s="66"/>
      <c r="H115" s="66"/>
      <c r="I115" s="66"/>
      <c r="J115" s="241"/>
      <c r="K115" s="241"/>
      <c r="L115" s="241"/>
      <c r="M115" s="241"/>
      <c r="N115" s="241"/>
      <c r="O115" s="241"/>
      <c r="P115" s="241"/>
      <c r="Q115" s="241"/>
      <c r="R115" s="241"/>
      <c r="S115" s="66"/>
      <c r="T115" s="66"/>
      <c r="U115" s="66"/>
      <c r="V115" s="66"/>
    </row>
    <row r="116" spans="1:22" hidden="1" x14ac:dyDescent="0.3">
      <c r="A116" s="66"/>
      <c r="B116" s="71"/>
      <c r="C116" s="66"/>
      <c r="D116" s="66"/>
      <c r="E116" s="66"/>
      <c r="F116" s="66"/>
      <c r="G116" s="66"/>
      <c r="H116" s="66"/>
      <c r="I116" s="66"/>
      <c r="J116" s="241"/>
      <c r="K116" s="241"/>
      <c r="L116" s="241"/>
      <c r="M116" s="241"/>
      <c r="N116" s="241"/>
      <c r="O116" s="241"/>
      <c r="P116" s="241"/>
      <c r="Q116" s="241"/>
      <c r="R116" s="241"/>
      <c r="S116" s="66"/>
      <c r="T116" s="66"/>
      <c r="U116" s="66"/>
      <c r="V116" s="66"/>
    </row>
    <row r="117" spans="1:22" hidden="1" x14ac:dyDescent="0.3">
      <c r="A117" s="66"/>
      <c r="B117" s="71"/>
      <c r="C117" s="66"/>
      <c r="D117" s="66"/>
      <c r="E117" s="66"/>
      <c r="F117" s="66"/>
      <c r="G117" s="66"/>
      <c r="H117" s="66"/>
      <c r="I117" s="66"/>
      <c r="J117" s="241"/>
      <c r="K117" s="241"/>
      <c r="L117" s="241"/>
      <c r="M117" s="241"/>
      <c r="N117" s="241"/>
      <c r="O117" s="241"/>
      <c r="P117" s="241"/>
      <c r="Q117" s="241"/>
      <c r="R117" s="241"/>
      <c r="S117" s="66"/>
      <c r="T117" s="66"/>
      <c r="U117" s="66"/>
      <c r="V117" s="66"/>
    </row>
    <row r="118" spans="1:22" hidden="1" x14ac:dyDescent="0.3">
      <c r="A118" s="66"/>
      <c r="B118" s="71"/>
      <c r="C118" s="66"/>
      <c r="D118" s="66"/>
      <c r="E118" s="66"/>
      <c r="F118" s="66"/>
      <c r="G118" s="66"/>
      <c r="H118" s="66"/>
      <c r="I118" s="66"/>
      <c r="J118" s="241"/>
      <c r="K118" s="241"/>
      <c r="L118" s="241"/>
      <c r="M118" s="241"/>
      <c r="N118" s="241"/>
      <c r="O118" s="241"/>
      <c r="P118" s="241"/>
      <c r="Q118" s="241"/>
      <c r="R118" s="241"/>
      <c r="S118" s="66"/>
      <c r="T118" s="66"/>
      <c r="U118" s="66"/>
      <c r="V118" s="66"/>
    </row>
    <row r="119" spans="1:22" hidden="1" x14ac:dyDescent="0.3">
      <c r="A119" s="66"/>
      <c r="B119" s="71"/>
      <c r="C119" s="66"/>
      <c r="D119" s="66"/>
      <c r="E119" s="66"/>
      <c r="F119" s="66"/>
      <c r="G119" s="66"/>
      <c r="H119" s="66"/>
      <c r="I119" s="66"/>
      <c r="J119" s="241"/>
      <c r="K119" s="241"/>
      <c r="L119" s="241"/>
      <c r="M119" s="241"/>
      <c r="N119" s="241"/>
      <c r="O119" s="241"/>
      <c r="P119" s="241"/>
      <c r="Q119" s="241"/>
      <c r="R119" s="241"/>
      <c r="S119" s="66"/>
      <c r="T119" s="66"/>
      <c r="U119" s="66"/>
      <c r="V119" s="66"/>
    </row>
    <row r="120" spans="1:22" hidden="1" x14ac:dyDescent="0.3">
      <c r="A120" s="66"/>
      <c r="B120" s="71"/>
      <c r="C120" s="66"/>
      <c r="D120" s="66"/>
      <c r="E120" s="66"/>
      <c r="F120" s="66"/>
      <c r="G120" s="66"/>
      <c r="H120" s="66"/>
      <c r="I120" s="66"/>
      <c r="J120" s="241"/>
      <c r="K120" s="241"/>
      <c r="L120" s="241"/>
      <c r="M120" s="241"/>
      <c r="N120" s="241"/>
      <c r="O120" s="241"/>
      <c r="P120" s="241"/>
      <c r="Q120" s="241"/>
      <c r="R120" s="241"/>
      <c r="S120" s="66"/>
      <c r="T120" s="66"/>
      <c r="U120" s="66"/>
      <c r="V120" s="66"/>
    </row>
    <row r="121" spans="1:22" hidden="1" x14ac:dyDescent="0.3">
      <c r="A121" s="66"/>
      <c r="B121" s="71"/>
      <c r="C121" s="66"/>
      <c r="D121" s="66"/>
      <c r="E121" s="66"/>
      <c r="F121" s="66"/>
      <c r="G121" s="66"/>
      <c r="H121" s="66"/>
      <c r="I121" s="66"/>
      <c r="J121" s="241"/>
      <c r="K121" s="241"/>
      <c r="L121" s="241"/>
      <c r="M121" s="241"/>
      <c r="N121" s="241"/>
      <c r="O121" s="241"/>
      <c r="P121" s="241"/>
      <c r="Q121" s="241"/>
      <c r="R121" s="241"/>
      <c r="S121" s="66"/>
      <c r="T121" s="66"/>
      <c r="U121" s="66"/>
      <c r="V121" s="66"/>
    </row>
    <row r="122" spans="1:22" hidden="1" x14ac:dyDescent="0.3">
      <c r="A122" s="66"/>
      <c r="B122" s="71"/>
      <c r="C122" s="66"/>
      <c r="D122" s="66"/>
      <c r="E122" s="66"/>
      <c r="F122" s="66"/>
      <c r="G122" s="66"/>
      <c r="H122" s="66"/>
      <c r="I122" s="66"/>
      <c r="J122" s="241"/>
      <c r="K122" s="241"/>
      <c r="L122" s="241"/>
      <c r="M122" s="241"/>
      <c r="N122" s="241"/>
      <c r="O122" s="241"/>
      <c r="P122" s="241"/>
      <c r="Q122" s="241"/>
      <c r="R122" s="241"/>
      <c r="S122" s="66"/>
      <c r="T122" s="66"/>
      <c r="U122" s="66"/>
      <c r="V122" s="66"/>
    </row>
    <row r="123" spans="1:22" hidden="1" x14ac:dyDescent="0.3">
      <c r="A123" s="66"/>
      <c r="B123" s="71"/>
      <c r="C123" s="66"/>
      <c r="D123" s="66"/>
      <c r="E123" s="66"/>
      <c r="F123" s="66"/>
      <c r="G123" s="66"/>
      <c r="H123" s="66"/>
      <c r="I123" s="66"/>
      <c r="J123" s="241"/>
      <c r="K123" s="241"/>
      <c r="L123" s="241"/>
      <c r="M123" s="241"/>
      <c r="N123" s="241"/>
      <c r="O123" s="241"/>
      <c r="P123" s="241"/>
      <c r="Q123" s="241"/>
      <c r="R123" s="241"/>
      <c r="S123" s="66"/>
      <c r="T123" s="66"/>
      <c r="U123" s="66"/>
      <c r="V123" s="66"/>
    </row>
    <row r="124" spans="1:22" hidden="1" x14ac:dyDescent="0.3">
      <c r="A124" s="66"/>
      <c r="B124" s="71"/>
      <c r="C124" s="66"/>
      <c r="D124" s="66"/>
      <c r="E124" s="66"/>
      <c r="F124" s="66"/>
      <c r="G124" s="66"/>
      <c r="H124" s="66"/>
      <c r="I124" s="66"/>
      <c r="J124" s="241"/>
      <c r="K124" s="241"/>
      <c r="L124" s="241"/>
      <c r="M124" s="241"/>
      <c r="N124" s="241"/>
      <c r="O124" s="241"/>
      <c r="P124" s="241"/>
      <c r="Q124" s="241"/>
      <c r="R124" s="241"/>
      <c r="S124" s="66"/>
      <c r="T124" s="66"/>
      <c r="U124" s="66"/>
      <c r="V124" s="66"/>
    </row>
    <row r="125" spans="1:22" hidden="1" x14ac:dyDescent="0.3">
      <c r="A125" s="66"/>
      <c r="B125" s="71"/>
      <c r="C125" s="66"/>
      <c r="D125" s="66"/>
      <c r="E125" s="66"/>
      <c r="F125" s="66"/>
      <c r="G125" s="66"/>
      <c r="H125" s="66"/>
      <c r="I125" s="66"/>
      <c r="J125" s="241"/>
      <c r="K125" s="241"/>
      <c r="L125" s="241"/>
      <c r="M125" s="241"/>
      <c r="N125" s="241"/>
      <c r="O125" s="241"/>
      <c r="P125" s="241"/>
      <c r="Q125" s="241"/>
      <c r="R125" s="241"/>
      <c r="S125" s="66"/>
      <c r="T125" s="66"/>
      <c r="U125" s="66"/>
      <c r="V125" s="66"/>
    </row>
    <row r="126" spans="1:22" hidden="1" x14ac:dyDescent="0.3">
      <c r="A126" s="66"/>
      <c r="B126" s="71"/>
      <c r="C126" s="66"/>
      <c r="D126" s="66"/>
      <c r="E126" s="66"/>
      <c r="F126" s="66"/>
      <c r="G126" s="66"/>
      <c r="H126" s="66"/>
      <c r="I126" s="66"/>
      <c r="J126" s="241"/>
      <c r="K126" s="241"/>
      <c r="L126" s="241"/>
      <c r="M126" s="241"/>
      <c r="N126" s="241"/>
      <c r="O126" s="241"/>
      <c r="P126" s="241"/>
      <c r="Q126" s="241"/>
      <c r="R126" s="241"/>
      <c r="S126" s="66"/>
      <c r="T126" s="66"/>
      <c r="U126" s="66"/>
      <c r="V126" s="66"/>
    </row>
    <row r="127" spans="1:22" hidden="1" x14ac:dyDescent="0.3">
      <c r="A127" s="66"/>
      <c r="B127" s="71"/>
      <c r="C127" s="66"/>
      <c r="D127" s="66"/>
      <c r="E127" s="66"/>
      <c r="F127" s="66"/>
      <c r="G127" s="66"/>
      <c r="H127" s="66"/>
      <c r="I127" s="66"/>
      <c r="J127" s="241"/>
      <c r="K127" s="241"/>
      <c r="L127" s="241"/>
      <c r="M127" s="241"/>
      <c r="N127" s="241"/>
      <c r="O127" s="241"/>
      <c r="P127" s="241"/>
      <c r="Q127" s="241"/>
      <c r="R127" s="241"/>
      <c r="S127" s="66"/>
      <c r="T127" s="66"/>
      <c r="U127" s="66"/>
      <c r="V127" s="66"/>
    </row>
    <row r="128" spans="1:22" hidden="1" x14ac:dyDescent="0.3">
      <c r="A128" s="66"/>
      <c r="B128" s="71"/>
      <c r="C128" s="66"/>
      <c r="D128" s="66"/>
      <c r="E128" s="66"/>
      <c r="F128" s="66"/>
      <c r="G128" s="66"/>
      <c r="H128" s="66"/>
      <c r="I128" s="66"/>
      <c r="J128" s="241"/>
      <c r="K128" s="241"/>
      <c r="L128" s="241"/>
      <c r="M128" s="241"/>
      <c r="N128" s="241"/>
      <c r="O128" s="241"/>
      <c r="P128" s="241"/>
      <c r="Q128" s="241"/>
      <c r="R128" s="241"/>
      <c r="S128" s="66"/>
      <c r="T128" s="66"/>
      <c r="U128" s="66"/>
      <c r="V128" s="66"/>
    </row>
    <row r="129" spans="1:22" hidden="1" x14ac:dyDescent="0.3">
      <c r="A129" s="66"/>
      <c r="B129" s="71"/>
      <c r="C129" s="66"/>
      <c r="D129" s="66"/>
      <c r="E129" s="66"/>
      <c r="F129" s="66"/>
      <c r="G129" s="66"/>
      <c r="H129" s="66"/>
      <c r="I129" s="66"/>
      <c r="J129" s="241"/>
      <c r="K129" s="241"/>
      <c r="L129" s="241"/>
      <c r="M129" s="241"/>
      <c r="N129" s="241"/>
      <c r="O129" s="241"/>
      <c r="P129" s="241"/>
      <c r="Q129" s="241"/>
      <c r="R129" s="241"/>
      <c r="S129" s="66"/>
      <c r="T129" s="66"/>
      <c r="U129" s="66"/>
      <c r="V129" s="66"/>
    </row>
    <row r="130" spans="1:22" hidden="1" x14ac:dyDescent="0.3">
      <c r="A130" s="66"/>
      <c r="B130" s="71"/>
      <c r="C130" s="66"/>
      <c r="D130" s="66"/>
      <c r="E130" s="66"/>
      <c r="F130" s="66"/>
      <c r="G130" s="66"/>
      <c r="H130" s="66"/>
      <c r="I130" s="66"/>
      <c r="J130" s="241"/>
      <c r="K130" s="241"/>
      <c r="L130" s="241"/>
      <c r="M130" s="241"/>
      <c r="N130" s="241"/>
      <c r="O130" s="241"/>
      <c r="P130" s="241"/>
      <c r="Q130" s="241"/>
      <c r="R130" s="241"/>
      <c r="S130" s="66"/>
      <c r="T130" s="66"/>
      <c r="U130" s="66"/>
      <c r="V130" s="66"/>
    </row>
    <row r="131" spans="1:22" hidden="1" x14ac:dyDescent="0.3">
      <c r="A131" s="66"/>
      <c r="B131" s="71"/>
      <c r="C131" s="66"/>
      <c r="D131" s="66"/>
      <c r="E131" s="66"/>
      <c r="F131" s="66"/>
      <c r="G131" s="66"/>
      <c r="H131" s="66"/>
      <c r="I131" s="66"/>
      <c r="J131" s="241"/>
      <c r="K131" s="241"/>
      <c r="L131" s="241"/>
      <c r="M131" s="241"/>
      <c r="N131" s="241"/>
      <c r="O131" s="241"/>
      <c r="P131" s="241"/>
      <c r="Q131" s="241"/>
      <c r="R131" s="241"/>
      <c r="S131" s="66"/>
      <c r="T131" s="66"/>
      <c r="U131" s="66"/>
      <c r="V131" s="66"/>
    </row>
    <row r="132" spans="1:22" hidden="1" x14ac:dyDescent="0.3">
      <c r="A132" s="66"/>
      <c r="B132" s="71"/>
      <c r="C132" s="66"/>
      <c r="D132" s="66"/>
      <c r="E132" s="66"/>
      <c r="F132" s="66"/>
      <c r="G132" s="66"/>
      <c r="H132" s="66"/>
      <c r="I132" s="66"/>
      <c r="J132" s="241"/>
      <c r="K132" s="241"/>
      <c r="L132" s="241"/>
      <c r="M132" s="241"/>
      <c r="N132" s="241"/>
      <c r="O132" s="241"/>
      <c r="P132" s="241"/>
      <c r="Q132" s="241"/>
      <c r="R132" s="241"/>
      <c r="S132" s="66"/>
      <c r="T132" s="66"/>
      <c r="U132" s="66"/>
      <c r="V132" s="66"/>
    </row>
    <row r="133" spans="1:22" hidden="1" x14ac:dyDescent="0.3">
      <c r="A133" s="66"/>
      <c r="B133" s="71"/>
      <c r="C133" s="66"/>
      <c r="D133" s="66"/>
      <c r="E133" s="66"/>
      <c r="F133" s="66"/>
      <c r="G133" s="66"/>
      <c r="H133" s="66"/>
      <c r="I133" s="66"/>
      <c r="J133" s="241"/>
      <c r="K133" s="241"/>
      <c r="L133" s="241"/>
      <c r="M133" s="241"/>
      <c r="N133" s="241"/>
      <c r="O133" s="241"/>
      <c r="P133" s="241"/>
      <c r="Q133" s="241"/>
      <c r="R133" s="241"/>
      <c r="S133" s="66"/>
      <c r="T133" s="66"/>
      <c r="U133" s="66"/>
      <c r="V133" s="66"/>
    </row>
    <row r="134" spans="1:22" hidden="1" x14ac:dyDescent="0.3">
      <c r="A134" s="66"/>
      <c r="B134" s="71"/>
      <c r="C134" s="66"/>
      <c r="D134" s="66"/>
      <c r="E134" s="66"/>
      <c r="F134" s="66"/>
      <c r="G134" s="66"/>
      <c r="H134" s="66"/>
      <c r="I134" s="66"/>
      <c r="J134" s="241"/>
      <c r="K134" s="241"/>
      <c r="L134" s="241"/>
      <c r="M134" s="241"/>
      <c r="N134" s="241"/>
      <c r="O134" s="241"/>
      <c r="P134" s="241"/>
      <c r="Q134" s="241"/>
      <c r="R134" s="241"/>
      <c r="S134" s="66"/>
      <c r="T134" s="66"/>
      <c r="U134" s="66"/>
      <c r="V134" s="66"/>
    </row>
    <row r="135" spans="1:22" hidden="1" x14ac:dyDescent="0.3">
      <c r="A135" s="66"/>
      <c r="B135" s="71"/>
      <c r="C135" s="66"/>
      <c r="D135" s="66"/>
      <c r="E135" s="66"/>
      <c r="F135" s="66"/>
      <c r="G135" s="66"/>
      <c r="H135" s="66"/>
      <c r="I135" s="66"/>
      <c r="J135" s="241"/>
      <c r="K135" s="241"/>
      <c r="L135" s="241"/>
      <c r="M135" s="241"/>
      <c r="N135" s="241"/>
      <c r="O135" s="241"/>
      <c r="P135" s="241"/>
      <c r="Q135" s="241"/>
      <c r="R135" s="241"/>
      <c r="S135" s="66"/>
      <c r="T135" s="66"/>
      <c r="U135" s="66"/>
      <c r="V135" s="66"/>
    </row>
    <row r="136" spans="1:22" hidden="1" x14ac:dyDescent="0.3">
      <c r="A136" s="66"/>
      <c r="B136" s="71"/>
      <c r="C136" s="66"/>
      <c r="D136" s="66"/>
      <c r="E136" s="66"/>
      <c r="F136" s="66"/>
      <c r="G136" s="66"/>
      <c r="H136" s="66"/>
      <c r="I136" s="66"/>
      <c r="J136" s="241"/>
      <c r="K136" s="241"/>
      <c r="L136" s="241"/>
      <c r="M136" s="241"/>
      <c r="N136" s="241"/>
      <c r="O136" s="241"/>
      <c r="P136" s="241"/>
      <c r="Q136" s="241"/>
      <c r="R136" s="241"/>
      <c r="S136" s="66"/>
      <c r="T136" s="66"/>
      <c r="U136" s="66"/>
      <c r="V136" s="66"/>
    </row>
    <row r="137" spans="1:22" hidden="1" x14ac:dyDescent="0.3">
      <c r="A137" s="66"/>
      <c r="B137" s="71"/>
      <c r="C137" s="66"/>
      <c r="D137" s="66"/>
      <c r="E137" s="66"/>
      <c r="F137" s="66"/>
      <c r="G137" s="66"/>
      <c r="H137" s="66"/>
      <c r="I137" s="66"/>
      <c r="J137" s="241"/>
      <c r="K137" s="241"/>
      <c r="L137" s="241"/>
      <c r="M137" s="241"/>
      <c r="N137" s="241"/>
      <c r="O137" s="241"/>
      <c r="P137" s="241"/>
      <c r="Q137" s="241"/>
      <c r="R137" s="241"/>
      <c r="S137" s="66"/>
      <c r="T137" s="66"/>
      <c r="U137" s="66"/>
      <c r="V137" s="66"/>
    </row>
    <row r="138" spans="1:22" hidden="1" x14ac:dyDescent="0.3">
      <c r="A138" s="66"/>
      <c r="B138" s="71"/>
      <c r="C138" s="66"/>
      <c r="D138" s="66"/>
      <c r="E138" s="66"/>
      <c r="F138" s="66"/>
      <c r="G138" s="66"/>
      <c r="H138" s="66"/>
      <c r="I138" s="66"/>
      <c r="J138" s="241"/>
      <c r="K138" s="241"/>
      <c r="L138" s="241"/>
      <c r="M138" s="241"/>
      <c r="N138" s="241"/>
      <c r="O138" s="241"/>
      <c r="P138" s="241"/>
      <c r="Q138" s="241"/>
      <c r="R138" s="241"/>
      <c r="S138" s="66"/>
      <c r="T138" s="66"/>
      <c r="U138" s="66"/>
      <c r="V138" s="66"/>
    </row>
    <row r="139" spans="1:22" hidden="1" x14ac:dyDescent="0.3">
      <c r="A139" s="66"/>
      <c r="B139" s="71"/>
      <c r="C139" s="66"/>
      <c r="D139" s="66"/>
      <c r="E139" s="66"/>
      <c r="F139" s="66"/>
      <c r="G139" s="66"/>
      <c r="H139" s="66"/>
      <c r="I139" s="66"/>
      <c r="J139" s="241"/>
      <c r="K139" s="241"/>
      <c r="L139" s="241"/>
      <c r="M139" s="241"/>
      <c r="N139" s="241"/>
      <c r="O139" s="241"/>
      <c r="P139" s="241"/>
      <c r="Q139" s="241"/>
      <c r="R139" s="241"/>
      <c r="S139" s="66"/>
      <c r="T139" s="66"/>
      <c r="U139" s="66"/>
      <c r="V139" s="66"/>
    </row>
    <row r="140" spans="1:22" hidden="1" x14ac:dyDescent="0.3">
      <c r="A140" s="66"/>
      <c r="B140" s="71"/>
      <c r="C140" s="66"/>
      <c r="D140" s="66"/>
      <c r="E140" s="66"/>
      <c r="F140" s="66"/>
      <c r="G140" s="66"/>
      <c r="H140" s="66"/>
      <c r="I140" s="66"/>
      <c r="J140" s="241"/>
      <c r="K140" s="241"/>
      <c r="L140" s="241"/>
      <c r="M140" s="241"/>
      <c r="N140" s="241"/>
      <c r="O140" s="241"/>
      <c r="P140" s="241"/>
      <c r="Q140" s="241"/>
      <c r="R140" s="241"/>
      <c r="S140" s="66"/>
      <c r="T140" s="66"/>
      <c r="U140" s="66"/>
      <c r="V140" s="66"/>
    </row>
    <row r="141" spans="1:22" hidden="1" x14ac:dyDescent="0.3">
      <c r="A141" s="66"/>
      <c r="B141" s="71"/>
      <c r="C141" s="66"/>
      <c r="D141" s="66"/>
      <c r="E141" s="66"/>
      <c r="F141" s="66"/>
      <c r="G141" s="66"/>
      <c r="H141" s="66"/>
      <c r="I141" s="66"/>
      <c r="J141" s="241"/>
      <c r="K141" s="241"/>
      <c r="L141" s="241"/>
      <c r="M141" s="241"/>
      <c r="N141" s="241"/>
      <c r="O141" s="241"/>
      <c r="P141" s="241"/>
      <c r="Q141" s="241"/>
      <c r="R141" s="241"/>
      <c r="S141" s="66"/>
      <c r="T141" s="66"/>
      <c r="U141" s="66"/>
      <c r="V141" s="66"/>
    </row>
    <row r="142" spans="1:22" hidden="1" x14ac:dyDescent="0.3">
      <c r="A142" s="66"/>
      <c r="B142" s="71"/>
      <c r="C142" s="66"/>
      <c r="D142" s="66"/>
      <c r="E142" s="66"/>
      <c r="F142" s="66"/>
      <c r="G142" s="66"/>
      <c r="H142" s="66"/>
      <c r="I142" s="66"/>
      <c r="J142" s="241"/>
      <c r="K142" s="241"/>
      <c r="L142" s="241"/>
      <c r="M142" s="241"/>
      <c r="N142" s="241"/>
      <c r="O142" s="241"/>
      <c r="P142" s="241"/>
      <c r="Q142" s="241"/>
      <c r="R142" s="241"/>
      <c r="S142" s="66"/>
      <c r="T142" s="66"/>
      <c r="U142" s="66"/>
      <c r="V142" s="66"/>
    </row>
    <row r="143" spans="1:22" hidden="1" x14ac:dyDescent="0.3">
      <c r="A143" s="66"/>
      <c r="B143" s="71"/>
      <c r="C143" s="66"/>
      <c r="D143" s="66"/>
      <c r="E143" s="66"/>
      <c r="F143" s="66"/>
      <c r="G143" s="66"/>
      <c r="H143" s="66"/>
      <c r="I143" s="66"/>
      <c r="J143" s="241"/>
      <c r="K143" s="241"/>
      <c r="L143" s="241"/>
      <c r="M143" s="241"/>
      <c r="N143" s="241"/>
      <c r="O143" s="241"/>
      <c r="P143" s="241"/>
      <c r="Q143" s="241"/>
      <c r="R143" s="241"/>
      <c r="S143" s="66"/>
      <c r="T143" s="66"/>
      <c r="U143" s="66"/>
      <c r="V143" s="66"/>
    </row>
    <row r="144" spans="1:22" hidden="1" x14ac:dyDescent="0.3">
      <c r="A144" s="66"/>
      <c r="B144" s="71"/>
      <c r="C144" s="66"/>
      <c r="D144" s="66"/>
      <c r="E144" s="66"/>
      <c r="F144" s="66"/>
      <c r="G144" s="66"/>
      <c r="H144" s="66"/>
      <c r="I144" s="66"/>
      <c r="J144" s="241"/>
      <c r="K144" s="241"/>
      <c r="L144" s="241"/>
      <c r="M144" s="241"/>
      <c r="N144" s="241"/>
      <c r="O144" s="241"/>
      <c r="P144" s="241"/>
      <c r="Q144" s="241"/>
      <c r="R144" s="241"/>
      <c r="S144" s="66"/>
      <c r="T144" s="66"/>
      <c r="U144" s="66"/>
      <c r="V144" s="66"/>
    </row>
    <row r="145" spans="1:22" hidden="1" x14ac:dyDescent="0.3">
      <c r="A145" s="66"/>
      <c r="B145" s="71"/>
      <c r="C145" s="66"/>
      <c r="D145" s="66"/>
      <c r="E145" s="66"/>
      <c r="F145" s="66"/>
      <c r="G145" s="66"/>
      <c r="H145" s="66"/>
      <c r="I145" s="66"/>
      <c r="J145" s="241"/>
      <c r="K145" s="241"/>
      <c r="L145" s="241"/>
      <c r="M145" s="241"/>
      <c r="N145" s="241"/>
      <c r="O145" s="241"/>
      <c r="P145" s="241"/>
      <c r="Q145" s="241"/>
      <c r="R145" s="241"/>
      <c r="S145" s="66"/>
      <c r="T145" s="66"/>
      <c r="U145" s="66"/>
      <c r="V145" s="66"/>
    </row>
    <row r="146" spans="1:22" hidden="1" x14ac:dyDescent="0.3">
      <c r="A146" s="66"/>
      <c r="B146" s="71"/>
      <c r="C146" s="66"/>
      <c r="D146" s="66"/>
      <c r="E146" s="66"/>
      <c r="F146" s="66"/>
      <c r="G146" s="66"/>
      <c r="H146" s="66"/>
      <c r="I146" s="66"/>
      <c r="J146" s="241"/>
      <c r="K146" s="241"/>
      <c r="L146" s="241"/>
      <c r="M146" s="241"/>
      <c r="N146" s="241"/>
      <c r="O146" s="241"/>
      <c r="P146" s="241"/>
      <c r="Q146" s="241"/>
      <c r="R146" s="241"/>
      <c r="S146" s="66"/>
      <c r="T146" s="66"/>
      <c r="U146" s="66"/>
      <c r="V146" s="66"/>
    </row>
    <row r="147" spans="1:22" hidden="1" x14ac:dyDescent="0.3">
      <c r="A147" s="66"/>
      <c r="B147" s="71"/>
      <c r="C147" s="66"/>
      <c r="D147" s="66"/>
      <c r="E147" s="66"/>
      <c r="F147" s="66"/>
      <c r="G147" s="66"/>
      <c r="H147" s="66"/>
      <c r="I147" s="66"/>
      <c r="J147" s="241"/>
      <c r="K147" s="241"/>
      <c r="L147" s="241"/>
      <c r="M147" s="241"/>
      <c r="N147" s="241"/>
      <c r="O147" s="241"/>
      <c r="P147" s="241"/>
      <c r="Q147" s="241"/>
      <c r="R147" s="241"/>
      <c r="S147" s="66"/>
      <c r="T147" s="66"/>
      <c r="U147" s="66"/>
      <c r="V147" s="66"/>
    </row>
    <row r="148" spans="1:22" hidden="1" x14ac:dyDescent="0.3">
      <c r="A148" s="66"/>
      <c r="B148" s="71"/>
      <c r="C148" s="66"/>
      <c r="D148" s="66"/>
      <c r="E148" s="66"/>
      <c r="F148" s="66"/>
      <c r="G148" s="66"/>
      <c r="H148" s="66"/>
      <c r="I148" s="66"/>
      <c r="J148" s="241"/>
      <c r="K148" s="241"/>
      <c r="L148" s="241"/>
      <c r="M148" s="241"/>
      <c r="N148" s="241"/>
      <c r="O148" s="241"/>
      <c r="P148" s="241"/>
      <c r="Q148" s="241"/>
      <c r="R148" s="241"/>
      <c r="S148" s="66"/>
      <c r="T148" s="66"/>
      <c r="U148" s="66"/>
      <c r="V148" s="66"/>
    </row>
    <row r="149" spans="1:22" hidden="1" x14ac:dyDescent="0.3">
      <c r="A149" s="66"/>
      <c r="B149" s="71"/>
      <c r="C149" s="66"/>
      <c r="D149" s="66"/>
      <c r="E149" s="66"/>
      <c r="F149" s="66"/>
      <c r="G149" s="66"/>
      <c r="H149" s="66"/>
      <c r="I149" s="66"/>
      <c r="J149" s="241"/>
      <c r="K149" s="241"/>
      <c r="L149" s="241"/>
      <c r="M149" s="241"/>
      <c r="N149" s="241"/>
      <c r="O149" s="241"/>
      <c r="P149" s="241"/>
      <c r="Q149" s="241"/>
      <c r="R149" s="241"/>
      <c r="S149" s="66"/>
      <c r="T149" s="66"/>
      <c r="U149" s="66"/>
      <c r="V149" s="66"/>
    </row>
    <row r="150" spans="1:22" hidden="1" x14ac:dyDescent="0.3">
      <c r="A150" s="66"/>
      <c r="B150" s="71"/>
      <c r="C150" s="66"/>
      <c r="D150" s="66"/>
      <c r="E150" s="66"/>
      <c r="F150" s="66"/>
      <c r="G150" s="66"/>
      <c r="H150" s="66"/>
      <c r="I150" s="66"/>
      <c r="J150" s="241"/>
      <c r="K150" s="241"/>
      <c r="L150" s="241"/>
      <c r="M150" s="241"/>
      <c r="N150" s="241"/>
      <c r="O150" s="241"/>
      <c r="P150" s="241"/>
      <c r="Q150" s="241"/>
      <c r="R150" s="241"/>
      <c r="S150" s="66"/>
      <c r="T150" s="66"/>
      <c r="U150" s="66"/>
      <c r="V150" s="66"/>
    </row>
    <row r="151" spans="1:22" hidden="1" x14ac:dyDescent="0.3">
      <c r="A151" s="66"/>
      <c r="B151" s="71"/>
      <c r="C151" s="66"/>
      <c r="D151" s="66"/>
      <c r="E151" s="66"/>
      <c r="F151" s="66"/>
      <c r="G151" s="66"/>
      <c r="H151" s="66"/>
      <c r="I151" s="66"/>
      <c r="J151" s="241"/>
      <c r="K151" s="241"/>
      <c r="L151" s="241"/>
      <c r="M151" s="241"/>
      <c r="N151" s="241"/>
      <c r="O151" s="241"/>
      <c r="P151" s="241"/>
      <c r="Q151" s="241"/>
      <c r="R151" s="241"/>
      <c r="S151" s="66"/>
      <c r="T151" s="66"/>
      <c r="U151" s="66"/>
      <c r="V151" s="66"/>
    </row>
    <row r="152" spans="1:22" hidden="1" x14ac:dyDescent="0.3">
      <c r="A152" s="66"/>
      <c r="B152" s="71"/>
      <c r="C152" s="66"/>
      <c r="D152" s="66"/>
      <c r="E152" s="66"/>
      <c r="F152" s="66"/>
      <c r="G152" s="66"/>
      <c r="H152" s="66"/>
      <c r="I152" s="66"/>
      <c r="J152" s="241"/>
      <c r="K152" s="241"/>
      <c r="L152" s="241"/>
      <c r="M152" s="241"/>
      <c r="N152" s="241"/>
      <c r="O152" s="241"/>
      <c r="P152" s="241"/>
      <c r="Q152" s="241"/>
      <c r="R152" s="241"/>
      <c r="S152" s="66"/>
      <c r="T152" s="66"/>
      <c r="U152" s="66"/>
      <c r="V152" s="66"/>
    </row>
    <row r="153" spans="1:22" hidden="1" x14ac:dyDescent="0.3">
      <c r="A153" s="66"/>
      <c r="B153" s="71"/>
      <c r="C153" s="66"/>
      <c r="D153" s="66"/>
      <c r="E153" s="66"/>
      <c r="F153" s="66"/>
      <c r="G153" s="66"/>
      <c r="H153" s="66"/>
      <c r="I153" s="66"/>
      <c r="J153" s="241"/>
      <c r="K153" s="241"/>
      <c r="L153" s="241"/>
      <c r="M153" s="241"/>
      <c r="N153" s="241"/>
      <c r="O153" s="241"/>
      <c r="P153" s="241"/>
      <c r="Q153" s="241"/>
      <c r="R153" s="241"/>
      <c r="S153" s="66"/>
      <c r="T153" s="66"/>
      <c r="U153" s="66"/>
      <c r="V153" s="66"/>
    </row>
  </sheetData>
  <mergeCells count="8">
    <mergeCell ref="B5:G9"/>
    <mergeCell ref="B42:G42"/>
    <mergeCell ref="B43:G43"/>
    <mergeCell ref="A26:A30"/>
    <mergeCell ref="A31:A35"/>
    <mergeCell ref="I20:R20"/>
    <mergeCell ref="I19:R19"/>
    <mergeCell ref="B44:G44"/>
  </mergeCells>
  <hyperlinks>
    <hyperlink ref="J16" r:id="rId1" xr:uid="{00000000-0004-0000-0200-000000000000}"/>
    <hyperlink ref="K16" r:id="rId2" display="Docket 10-0520, Staff Ex. 1.1, p. 12." xr:uid="{00000000-0004-0000-0200-000001000000}"/>
    <hyperlink ref="P16" r:id="rId3" xr:uid="{00000000-0004-0000-0200-000002000000}"/>
  </hyperlinks>
  <printOptions horizontalCentered="1" headings="1"/>
  <pageMargins left="0.5" right="0.5" top="1.25" bottom="1" header="0.5" footer="0.5"/>
  <pageSetup scale="46" orientation="landscape" r:id="rId4"/>
  <headerFooter scaleWithDoc="0">
    <oddHeader>&amp;R&amp;"Arial,Bold"ICC Docket No. 17-0312
Statewide Quarterly Report ComEd 2019 Q4
Tab: &amp;A</oddHeader>
  </headerFooter>
  <ignoredErrors>
    <ignoredError sqref="F25 F1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4.9989318521683403E-2"/>
    <pageSetUpPr fitToPage="1"/>
  </sheetPr>
  <dimension ref="A1:Y58"/>
  <sheetViews>
    <sheetView workbookViewId="0">
      <selection activeCell="T31" sqref="T31"/>
    </sheetView>
  </sheetViews>
  <sheetFormatPr defaultColWidth="0" defaultRowHeight="14.4" zeroHeight="1" x14ac:dyDescent="0.3"/>
  <cols>
    <col min="1" max="1" width="4.109375" customWidth="1"/>
    <col min="2" max="2" width="51.5546875" customWidth="1"/>
    <col min="3" max="3" width="13.109375" customWidth="1"/>
    <col min="4" max="4" width="11.5546875" customWidth="1"/>
    <col min="5" max="5" width="11.109375" customWidth="1"/>
    <col min="6" max="6" width="12" customWidth="1"/>
    <col min="7" max="7" width="13.5546875" customWidth="1"/>
    <col min="8" max="8" width="13.109375" customWidth="1"/>
    <col min="9" max="9" width="12.6640625" customWidth="1"/>
    <col min="10" max="11" width="14.109375" customWidth="1"/>
    <col min="12" max="12" width="13.88671875" customWidth="1"/>
    <col min="13" max="13" width="14.88671875" customWidth="1"/>
    <col min="14" max="14" width="15.109375" customWidth="1"/>
    <col min="15" max="15" width="14.88671875" customWidth="1"/>
    <col min="16" max="16" width="14.88671875" bestFit="1" customWidth="1"/>
    <col min="17" max="17" width="13.88671875" bestFit="1" customWidth="1"/>
    <col min="18" max="19" width="13.6640625" customWidth="1"/>
    <col min="20" max="21" width="9.109375" customWidth="1"/>
    <col min="22" max="22" width="28.33203125" bestFit="1" customWidth="1"/>
    <col min="23" max="23" width="23.44140625" bestFit="1" customWidth="1"/>
    <col min="24" max="24" width="9.109375" customWidth="1"/>
    <col min="25" max="25" width="0" hidden="1" customWidth="1"/>
    <col min="26" max="16384" width="9.109375" hidden="1"/>
  </cols>
  <sheetData>
    <row r="1" spans="1:25" x14ac:dyDescent="0.3">
      <c r="A1" s="66"/>
      <c r="B1" s="73" t="s">
        <v>0</v>
      </c>
      <c r="C1" s="73"/>
      <c r="D1" s="66"/>
      <c r="E1" s="66"/>
      <c r="F1" s="66"/>
      <c r="G1" s="66"/>
      <c r="H1" s="66"/>
      <c r="I1" s="66"/>
      <c r="J1" s="66"/>
      <c r="K1" s="66"/>
      <c r="L1" s="66"/>
      <c r="M1" s="66"/>
      <c r="N1" s="66"/>
      <c r="O1" s="66"/>
      <c r="P1" s="66"/>
      <c r="Q1" s="66"/>
      <c r="R1" s="66"/>
      <c r="S1" s="66"/>
      <c r="T1" s="66"/>
      <c r="U1" s="66"/>
      <c r="V1" s="66"/>
      <c r="W1" s="66"/>
      <c r="X1" s="66"/>
      <c r="Y1" s="66"/>
    </row>
    <row r="2" spans="1:25" x14ac:dyDescent="0.3">
      <c r="A2" s="66"/>
      <c r="B2" s="73" t="s">
        <v>197</v>
      </c>
      <c r="C2" s="73"/>
      <c r="D2" s="66"/>
      <c r="E2" s="66"/>
      <c r="F2" s="66"/>
      <c r="G2" s="66"/>
      <c r="H2" s="66"/>
      <c r="I2" s="66"/>
      <c r="J2" s="66"/>
      <c r="K2" s="66"/>
      <c r="L2" s="66"/>
      <c r="M2" s="66"/>
      <c r="N2" s="66"/>
      <c r="O2" s="66"/>
      <c r="P2" s="66"/>
      <c r="Q2" s="66"/>
      <c r="R2" s="66"/>
      <c r="S2" s="66"/>
      <c r="T2" s="66"/>
      <c r="U2" s="66"/>
      <c r="V2" s="66"/>
      <c r="W2" s="66"/>
      <c r="X2" s="66"/>
      <c r="Y2" s="66"/>
    </row>
    <row r="3" spans="1:25" x14ac:dyDescent="0.3">
      <c r="A3" s="66"/>
      <c r="B3" s="73"/>
      <c r="C3" s="73"/>
      <c r="D3" s="66"/>
      <c r="E3" s="66"/>
      <c r="F3" s="66"/>
      <c r="G3" s="66"/>
      <c r="H3" s="66"/>
      <c r="I3" s="66"/>
      <c r="J3" s="66"/>
      <c r="K3" s="66"/>
      <c r="L3" s="66"/>
      <c r="M3" s="66"/>
      <c r="N3" s="66"/>
      <c r="O3" s="66"/>
      <c r="P3" s="66"/>
      <c r="Q3" s="66"/>
      <c r="R3" s="66"/>
      <c r="S3" s="66"/>
      <c r="T3" s="66"/>
      <c r="U3" s="66"/>
      <c r="V3" s="66"/>
      <c r="W3" s="66"/>
      <c r="X3" s="66"/>
      <c r="Y3" s="66"/>
    </row>
    <row r="4" spans="1:25" x14ac:dyDescent="0.3">
      <c r="A4" s="66"/>
      <c r="B4" s="73"/>
      <c r="C4" s="73"/>
      <c r="D4" s="66"/>
      <c r="E4" s="66"/>
      <c r="F4" s="66"/>
      <c r="G4" s="66"/>
      <c r="H4" s="66"/>
      <c r="I4" s="66"/>
      <c r="J4" s="66"/>
      <c r="K4" s="66"/>
      <c r="L4" s="66"/>
      <c r="M4" s="66"/>
      <c r="N4" s="66"/>
      <c r="O4" s="66"/>
      <c r="P4" s="66"/>
      <c r="Q4" s="66"/>
      <c r="R4" s="66"/>
      <c r="S4" s="66"/>
      <c r="T4" s="66"/>
      <c r="U4" s="66"/>
      <c r="V4" s="66"/>
      <c r="W4" s="66"/>
      <c r="X4" s="66"/>
      <c r="Y4" s="66"/>
    </row>
    <row r="5" spans="1:25" ht="22.5" customHeight="1" x14ac:dyDescent="0.3">
      <c r="A5" s="66"/>
      <c r="B5" s="286" t="s">
        <v>198</v>
      </c>
      <c r="C5" s="286"/>
      <c r="D5" s="286"/>
      <c r="E5" s="286"/>
      <c r="F5" s="286"/>
      <c r="G5" s="286"/>
      <c r="H5" s="286"/>
      <c r="I5" s="286"/>
      <c r="J5" s="286"/>
      <c r="K5" s="286"/>
      <c r="L5" s="286"/>
      <c r="M5" s="66"/>
      <c r="N5" s="66"/>
      <c r="O5" s="66"/>
      <c r="P5" s="66"/>
      <c r="Q5" s="66"/>
      <c r="R5" s="66"/>
      <c r="S5" s="66"/>
      <c r="T5" s="66"/>
      <c r="U5" s="66"/>
      <c r="V5" s="66"/>
      <c r="W5" s="66"/>
      <c r="X5" s="66"/>
      <c r="Y5" s="66"/>
    </row>
    <row r="6" spans="1:25" ht="21" customHeight="1" x14ac:dyDescent="0.3">
      <c r="A6" s="66"/>
      <c r="B6" s="286"/>
      <c r="C6" s="286"/>
      <c r="D6" s="286"/>
      <c r="E6" s="286"/>
      <c r="F6" s="286"/>
      <c r="G6" s="286"/>
      <c r="H6" s="286"/>
      <c r="I6" s="286"/>
      <c r="J6" s="286"/>
      <c r="K6" s="286"/>
      <c r="L6" s="286"/>
      <c r="M6" s="66"/>
      <c r="N6" s="66"/>
      <c r="O6" s="66"/>
      <c r="P6" s="66"/>
      <c r="Q6" s="66"/>
      <c r="R6" s="66"/>
      <c r="S6" s="66"/>
      <c r="T6" s="66"/>
      <c r="U6" s="66"/>
      <c r="V6" s="66"/>
      <c r="W6" s="66"/>
      <c r="X6" s="66"/>
      <c r="Y6" s="66"/>
    </row>
    <row r="7" spans="1:25" ht="21" customHeight="1" x14ac:dyDescent="0.3">
      <c r="A7" s="66"/>
      <c r="B7" s="286"/>
      <c r="C7" s="286"/>
      <c r="D7" s="286"/>
      <c r="E7" s="286"/>
      <c r="F7" s="286"/>
      <c r="G7" s="286"/>
      <c r="H7" s="286"/>
      <c r="I7" s="286"/>
      <c r="J7" s="286"/>
      <c r="K7" s="286"/>
      <c r="L7" s="286"/>
      <c r="M7" s="66"/>
      <c r="N7" s="66"/>
      <c r="O7" s="66"/>
      <c r="P7" s="66"/>
      <c r="Q7" s="66"/>
      <c r="R7" s="66"/>
      <c r="S7" s="66"/>
      <c r="T7" s="66"/>
      <c r="U7" s="66"/>
      <c r="V7" s="66"/>
      <c r="W7" s="66"/>
      <c r="X7" s="66"/>
      <c r="Y7" s="66"/>
    </row>
    <row r="8" spans="1:25" x14ac:dyDescent="0.3">
      <c r="A8" s="66"/>
      <c r="B8" s="99"/>
      <c r="C8" s="99"/>
      <c r="D8" s="99"/>
      <c r="E8" s="99"/>
      <c r="F8" s="99"/>
      <c r="G8" s="99"/>
      <c r="H8" s="99"/>
      <c r="I8" s="99"/>
      <c r="J8" s="99"/>
      <c r="K8" s="99"/>
      <c r="L8" s="99"/>
      <c r="M8" s="99"/>
      <c r="N8" s="66"/>
      <c r="O8" s="66"/>
      <c r="P8" s="66"/>
      <c r="Q8" s="66"/>
      <c r="R8" s="66"/>
      <c r="S8" s="66"/>
      <c r="T8" s="66"/>
      <c r="U8" s="66"/>
      <c r="V8" s="66"/>
      <c r="W8" s="66"/>
      <c r="X8" s="66"/>
      <c r="Y8" s="66"/>
    </row>
    <row r="9" spans="1:25" x14ac:dyDescent="0.3">
      <c r="A9" s="66"/>
      <c r="B9" s="138" t="s">
        <v>199</v>
      </c>
      <c r="C9" s="138"/>
      <c r="D9" s="138"/>
      <c r="E9" s="139"/>
      <c r="F9" s="139"/>
      <c r="G9" s="140"/>
      <c r="H9" s="141"/>
      <c r="I9" s="140"/>
      <c r="J9" s="140"/>
      <c r="K9" s="140"/>
      <c r="L9" s="140"/>
      <c r="M9" s="140"/>
      <c r="N9" s="66"/>
      <c r="O9" s="66"/>
      <c r="P9" s="66"/>
      <c r="Q9" s="66"/>
      <c r="R9" s="66"/>
      <c r="S9" s="66"/>
      <c r="T9" s="66"/>
      <c r="U9" s="66"/>
      <c r="V9" s="66"/>
      <c r="W9" s="66"/>
      <c r="X9" s="66"/>
      <c r="Y9" s="66"/>
    </row>
    <row r="10" spans="1:25" ht="18" customHeight="1" x14ac:dyDescent="0.3">
      <c r="A10" s="66"/>
      <c r="B10" s="232" t="str">
        <f>'1- Ex Ante Results'!A19</f>
        <v>CY2024 Q2</v>
      </c>
      <c r="C10" s="139"/>
      <c r="D10" s="139"/>
      <c r="E10" s="139"/>
      <c r="F10" s="139"/>
      <c r="G10" s="140"/>
      <c r="H10" s="140"/>
      <c r="I10" s="140"/>
      <c r="J10" s="140"/>
      <c r="K10" s="140"/>
      <c r="L10" s="140"/>
      <c r="M10" s="142"/>
      <c r="N10" s="66"/>
      <c r="O10" s="66"/>
      <c r="P10" s="66"/>
      <c r="Q10" s="66"/>
      <c r="R10" s="66"/>
      <c r="S10" s="66"/>
      <c r="T10" s="66"/>
      <c r="U10" s="66"/>
      <c r="V10" s="66"/>
      <c r="W10" s="66"/>
      <c r="X10" s="66"/>
      <c r="Y10" s="66"/>
    </row>
    <row r="11" spans="1:25" ht="27.6" x14ac:dyDescent="0.3">
      <c r="A11" s="66"/>
      <c r="B11" s="15" t="s">
        <v>200</v>
      </c>
      <c r="C11" s="15"/>
      <c r="D11" s="11" t="s">
        <v>152</v>
      </c>
      <c r="E11" s="11" t="s">
        <v>153</v>
      </c>
      <c r="F11" s="5" t="s">
        <v>154</v>
      </c>
      <c r="G11" s="5" t="s">
        <v>155</v>
      </c>
      <c r="H11" s="5" t="s">
        <v>156</v>
      </c>
      <c r="I11" s="5" t="s">
        <v>157</v>
      </c>
      <c r="J11" s="5" t="s">
        <v>158</v>
      </c>
      <c r="K11" s="5" t="s">
        <v>159</v>
      </c>
      <c r="L11" s="5" t="s">
        <v>201</v>
      </c>
      <c r="M11" s="5" t="s">
        <v>202</v>
      </c>
      <c r="N11" s="5" t="s">
        <v>203</v>
      </c>
      <c r="O11" s="5" t="s">
        <v>204</v>
      </c>
      <c r="P11" s="5" t="s">
        <v>205</v>
      </c>
      <c r="Q11" s="5" t="s">
        <v>206</v>
      </c>
      <c r="R11" s="5" t="s">
        <v>207</v>
      </c>
      <c r="S11" s="5" t="s">
        <v>208</v>
      </c>
      <c r="T11" s="66"/>
      <c r="U11" s="66"/>
      <c r="V11" s="66"/>
      <c r="W11" s="66"/>
      <c r="X11" s="66"/>
      <c r="Y11" s="66"/>
    </row>
    <row r="12" spans="1:25" x14ac:dyDescent="0.3">
      <c r="A12" s="66"/>
      <c r="B12" s="6" t="s">
        <v>209</v>
      </c>
      <c r="C12" s="51"/>
      <c r="D12" s="13">
        <v>182353</v>
      </c>
      <c r="E12" s="13">
        <v>506170</v>
      </c>
      <c r="F12" s="13">
        <v>680845</v>
      </c>
      <c r="G12" s="13">
        <v>1051751</v>
      </c>
      <c r="H12" s="13">
        <v>1041005</v>
      </c>
      <c r="I12" s="13">
        <v>1205087.922</v>
      </c>
      <c r="J12" s="13">
        <v>1207781.348736</v>
      </c>
      <c r="K12" s="13">
        <v>1382679.5970000001</v>
      </c>
      <c r="L12" s="13">
        <v>2542422.09</v>
      </c>
      <c r="M12" s="13">
        <v>1859773.2879999999</v>
      </c>
      <c r="N12" s="13">
        <v>1700029.4500006568</v>
      </c>
      <c r="O12" s="13">
        <v>1821166.2136200001</v>
      </c>
      <c r="P12" s="47">
        <f>'3- Energy'!$D$29</f>
        <v>1849877.162</v>
      </c>
      <c r="Q12" s="47">
        <v>1724232</v>
      </c>
      <c r="R12" s="47">
        <v>1569223.0419122316</v>
      </c>
      <c r="S12" s="47">
        <f>'3- Energy'!$D$33</f>
        <v>938235.73702779994</v>
      </c>
      <c r="T12" s="66"/>
      <c r="U12" s="66"/>
      <c r="V12" s="66"/>
      <c r="W12" s="66"/>
      <c r="X12" s="66"/>
      <c r="Y12" s="66"/>
    </row>
    <row r="13" spans="1:25" x14ac:dyDescent="0.3">
      <c r="A13" s="66"/>
      <c r="B13" s="6" t="s">
        <v>210</v>
      </c>
      <c r="C13" s="51"/>
      <c r="D13" s="13">
        <f>D12*1000*1.3909/2204.62</f>
        <v>115046.94128693381</v>
      </c>
      <c r="E13" s="13">
        <f t="shared" ref="E13:L13" si="0">E12*1000*1.3909/2204.62</f>
        <v>319343.85653763462</v>
      </c>
      <c r="F13" s="13">
        <f t="shared" si="0"/>
        <v>429546.72936832655</v>
      </c>
      <c r="G13" s="13">
        <f t="shared" si="0"/>
        <v>663552.20668414515</v>
      </c>
      <c r="H13" s="13">
        <f t="shared" si="0"/>
        <v>656772.52973301522</v>
      </c>
      <c r="I13" s="13">
        <f t="shared" si="0"/>
        <v>760292.83536836284</v>
      </c>
      <c r="J13" s="13">
        <f t="shared" si="0"/>
        <v>761992.12470035767</v>
      </c>
      <c r="K13" s="13">
        <f t="shared" si="0"/>
        <v>872335.84539163217</v>
      </c>
      <c r="L13" s="13">
        <f t="shared" si="0"/>
        <v>1604020.1417845252</v>
      </c>
      <c r="M13" s="13">
        <f>M12*1000*1.2515/2204.62</f>
        <v>1055740.3407081494</v>
      </c>
      <c r="N13" s="13">
        <f>N12*1000*1.174/2204.62</f>
        <v>905296.41130932816</v>
      </c>
      <c r="O13" s="13">
        <f>O12*1000*1.174/2204.62</f>
        <v>969803.92756569397</v>
      </c>
      <c r="P13" s="13">
        <f>P12*1000*1.074/2204.62</f>
        <v>901183.91014687344</v>
      </c>
      <c r="Q13" s="13">
        <f>(Q12*1000*0.84903)/2204.62</f>
        <v>664025.8615815877</v>
      </c>
      <c r="R13" s="13">
        <v>604329.74357247143</v>
      </c>
      <c r="S13" s="13">
        <f>(S12*1000*0.7385)/2204.62</f>
        <v>314288.67187770701</v>
      </c>
      <c r="T13" s="66"/>
      <c r="U13" s="66"/>
      <c r="V13" s="265"/>
      <c r="W13" s="66"/>
      <c r="X13" s="66"/>
      <c r="Y13" s="66"/>
    </row>
    <row r="14" spans="1:25" x14ac:dyDescent="0.3">
      <c r="A14" s="66"/>
      <c r="B14" s="6" t="s">
        <v>211</v>
      </c>
      <c r="C14" s="51"/>
      <c r="D14" s="13">
        <f>D12*1000*1.3909/(4.67*2204.62)</f>
        <v>24635.31933339054</v>
      </c>
      <c r="E14" s="13">
        <f t="shared" ref="E14:L14" si="1">E12*1000*1.3909/(4.67*2204.62)</f>
        <v>68381.982127973155</v>
      </c>
      <c r="F14" s="13">
        <f t="shared" si="1"/>
        <v>91980.027701997111</v>
      </c>
      <c r="G14" s="13">
        <f t="shared" si="1"/>
        <v>142088.26695591974</v>
      </c>
      <c r="H14" s="13">
        <f t="shared" si="1"/>
        <v>140636.51600278699</v>
      </c>
      <c r="I14" s="13">
        <f t="shared" si="1"/>
        <v>162803.60500393208</v>
      </c>
      <c r="J14" s="13">
        <f t="shared" si="1"/>
        <v>163167.47852256053</v>
      </c>
      <c r="K14" s="13">
        <f t="shared" si="1"/>
        <v>186795.68423803686</v>
      </c>
      <c r="L14" s="13">
        <f t="shared" si="1"/>
        <v>343473.26376542298</v>
      </c>
      <c r="M14" s="13">
        <f>M12*1000*1.2515/(4.67*2204.62)</f>
        <v>226068.59544071721</v>
      </c>
      <c r="N14" s="13">
        <f>N12*1000*1.174/(4.63*2204.62)</f>
        <v>195528.38257220911</v>
      </c>
      <c r="O14" s="13">
        <f>O12*1000*1.174/(4.63*2204.62)</f>
        <v>209460.89148287126</v>
      </c>
      <c r="P14" s="13">
        <f>P12*1000*1.074/(4.6*2204.62)</f>
        <v>195909.54568410295</v>
      </c>
      <c r="Q14" s="13">
        <f>Q12*1000*0.84903/(4.6*2204.62)</f>
        <v>144353.44816991038</v>
      </c>
      <c r="R14" s="13">
        <v>131376.03121140684</v>
      </c>
      <c r="S14" s="13">
        <f>(S12*1000*0.7385)/(4.49*2204.62)</f>
        <v>69997.477032896873</v>
      </c>
      <c r="T14" s="66"/>
      <c r="U14" s="66"/>
      <c r="V14" s="66"/>
      <c r="W14" s="66"/>
      <c r="X14" s="66"/>
      <c r="Y14" s="66"/>
    </row>
    <row r="15" spans="1:25" x14ac:dyDescent="0.3">
      <c r="A15" s="66"/>
      <c r="B15" s="6" t="s">
        <v>212</v>
      </c>
      <c r="C15" s="51"/>
      <c r="D15" s="13">
        <f>(D12*1000*1.3909)/(0.85*2204.62)</f>
        <v>135349.34269051038</v>
      </c>
      <c r="E15" s="13">
        <f t="shared" ref="E15:L15" si="2">(E12*1000*1.3909)/(0.85*2204.62)</f>
        <v>375698.65475015837</v>
      </c>
      <c r="F15" s="13">
        <f t="shared" si="2"/>
        <v>505349.0933745018</v>
      </c>
      <c r="G15" s="13">
        <f t="shared" si="2"/>
        <v>780649.65492252377</v>
      </c>
      <c r="H15" s="13">
        <f t="shared" si="2"/>
        <v>772673.56439178262</v>
      </c>
      <c r="I15" s="13">
        <f t="shared" si="2"/>
        <v>894462.15925689752</v>
      </c>
      <c r="J15" s="13">
        <f t="shared" si="2"/>
        <v>896461.32317689143</v>
      </c>
      <c r="K15" s="13">
        <f t="shared" si="2"/>
        <v>1026277.465166626</v>
      </c>
      <c r="L15" s="13">
        <f t="shared" si="2"/>
        <v>1887082.5197465003</v>
      </c>
      <c r="M15" s="13">
        <f>(M12*1000*1.2515)/(0.85*2204.62)</f>
        <v>1242047.4596566462</v>
      </c>
      <c r="N15" s="13">
        <f>(N12*1000*1.174)/(0.77*2204.62)</f>
        <v>1175709.6250770495</v>
      </c>
      <c r="O15" s="13">
        <f>(O12*1000*1.174)/(0.77*2204.62)</f>
        <v>1259485.6202151868</v>
      </c>
      <c r="P15" s="13">
        <f>(P12*1000*1.074)/(0.82*2204.62)</f>
        <v>1099004.768471797</v>
      </c>
      <c r="Q15" s="13">
        <f>(Q12*1000*0.84903)/(0.82*2204.62)</f>
        <v>809787.63607510692</v>
      </c>
      <c r="R15" s="13">
        <v>736987.49216155056</v>
      </c>
      <c r="S15" s="13">
        <f>(S12*1000*0.7385)/(0.84*2204.62)</f>
        <v>374153.18080679403</v>
      </c>
      <c r="T15" s="66"/>
      <c r="U15" s="66"/>
      <c r="V15" s="66"/>
      <c r="W15" s="66"/>
      <c r="X15" s="66"/>
      <c r="Y15" s="66"/>
    </row>
    <row r="16" spans="1:25" x14ac:dyDescent="0.3">
      <c r="A16" s="66"/>
      <c r="B16" s="6" t="s">
        <v>213</v>
      </c>
      <c r="C16" s="51"/>
      <c r="D16" s="13">
        <f>D12*1000/8916</f>
        <v>20452.33288470166</v>
      </c>
      <c r="E16" s="13">
        <f t="shared" ref="E16:M16" si="3">E12*1000/8916</f>
        <v>56770.973530731273</v>
      </c>
      <c r="F16" s="13">
        <f t="shared" si="3"/>
        <v>76362.157918349039</v>
      </c>
      <c r="G16" s="13">
        <f t="shared" si="3"/>
        <v>117962.20278151637</v>
      </c>
      <c r="H16" s="13">
        <f t="shared" si="3"/>
        <v>116756.95379093764</v>
      </c>
      <c r="I16" s="13">
        <f t="shared" si="3"/>
        <v>135160.1527590848</v>
      </c>
      <c r="J16" s="13">
        <f t="shared" si="3"/>
        <v>135462.24189502018</v>
      </c>
      <c r="K16" s="13">
        <f t="shared" si="3"/>
        <v>155078.46534320322</v>
      </c>
      <c r="L16" s="13">
        <f t="shared" si="3"/>
        <v>285152.76917900401</v>
      </c>
      <c r="M16" s="13">
        <f t="shared" si="3"/>
        <v>208588.30058322116</v>
      </c>
      <c r="N16" s="13">
        <f>N12*1000/8640</f>
        <v>196762.66782415009</v>
      </c>
      <c r="O16" s="13">
        <f>O12*1000/8652</f>
        <v>210490.77827323164</v>
      </c>
      <c r="P16" s="13">
        <f>P12*1000/8652</f>
        <v>213809.19579288026</v>
      </c>
      <c r="Q16" s="13">
        <f>Q12*1000/8700</f>
        <v>198187.58620689655</v>
      </c>
      <c r="R16" s="13">
        <v>180370.46458761283</v>
      </c>
      <c r="S16" s="13">
        <f>S12*1000/8628</f>
        <v>108743.13131986556</v>
      </c>
      <c r="T16" s="66"/>
      <c r="U16" s="66"/>
      <c r="V16" s="66"/>
      <c r="W16" s="66"/>
      <c r="X16" s="66"/>
      <c r="Y16" s="66"/>
    </row>
    <row r="17" spans="1:25" x14ac:dyDescent="0.3">
      <c r="A17" s="66"/>
      <c r="B17" s="6" t="s">
        <v>214</v>
      </c>
      <c r="C17" s="51"/>
      <c r="D17" s="13">
        <v>66</v>
      </c>
      <c r="E17" s="13">
        <v>84</v>
      </c>
      <c r="F17" s="13">
        <v>154</v>
      </c>
      <c r="G17" s="13">
        <v>179</v>
      </c>
      <c r="H17" s="14">
        <v>196</v>
      </c>
      <c r="I17" s="14">
        <v>234</v>
      </c>
      <c r="J17" s="14">
        <v>260</v>
      </c>
      <c r="K17" s="13">
        <v>267</v>
      </c>
      <c r="L17" s="13">
        <v>376</v>
      </c>
      <c r="M17" s="14">
        <v>412.48</v>
      </c>
      <c r="N17" s="62">
        <v>482</v>
      </c>
      <c r="O17" s="63">
        <v>475</v>
      </c>
      <c r="P17" s="47">
        <v>442</v>
      </c>
      <c r="Q17" s="47">
        <v>457</v>
      </c>
      <c r="R17" s="47">
        <v>484</v>
      </c>
      <c r="S17" s="47">
        <v>516</v>
      </c>
      <c r="T17" s="66"/>
      <c r="U17" s="137"/>
      <c r="V17" s="137"/>
      <c r="W17" s="137"/>
      <c r="X17" s="66"/>
      <c r="Y17" s="66"/>
    </row>
    <row r="18" spans="1:25" s="12" customFormat="1" x14ac:dyDescent="0.3">
      <c r="A18" s="71"/>
      <c r="B18" s="29" t="s">
        <v>215</v>
      </c>
      <c r="C18" s="51"/>
      <c r="D18" s="51"/>
      <c r="E18" s="51"/>
      <c r="F18" s="51"/>
      <c r="G18" s="51"/>
      <c r="H18" s="51"/>
      <c r="I18" s="51"/>
      <c r="J18" s="51"/>
      <c r="K18" s="51"/>
      <c r="L18" s="13">
        <f>459+1299+1+318</f>
        <v>2077</v>
      </c>
      <c r="M18" s="47">
        <f>1561+5119+2497+9+34899</f>
        <v>44085</v>
      </c>
      <c r="N18" s="47">
        <v>75450</v>
      </c>
      <c r="O18" s="47">
        <v>73577</v>
      </c>
      <c r="P18" s="47">
        <v>79722</v>
      </c>
      <c r="Q18" s="47">
        <v>89548</v>
      </c>
      <c r="R18" s="47">
        <v>98592</v>
      </c>
      <c r="S18" s="47">
        <v>47717</v>
      </c>
      <c r="T18" s="66"/>
      <c r="U18" s="143"/>
      <c r="V18" s="143"/>
      <c r="W18" s="143"/>
      <c r="X18" s="71"/>
      <c r="Y18" s="71"/>
    </row>
    <row r="19" spans="1:25" x14ac:dyDescent="0.3">
      <c r="A19" s="66"/>
      <c r="B19" s="103"/>
      <c r="C19" s="103"/>
      <c r="D19" s="134"/>
      <c r="E19" s="134"/>
      <c r="F19" s="134"/>
      <c r="G19" s="134"/>
      <c r="H19" s="134"/>
      <c r="I19" s="134"/>
      <c r="J19" s="134"/>
      <c r="K19" s="134"/>
      <c r="L19" s="134"/>
      <c r="M19" s="136"/>
      <c r="N19" s="66"/>
      <c r="O19" s="66"/>
      <c r="P19" s="66"/>
      <c r="Q19" s="66"/>
      <c r="R19" s="66"/>
      <c r="S19" s="66"/>
      <c r="T19" s="66"/>
      <c r="U19" s="137"/>
      <c r="V19" s="137"/>
      <c r="W19" s="137"/>
      <c r="X19" s="66"/>
      <c r="Y19" s="66"/>
    </row>
    <row r="20" spans="1:25" ht="48.75" customHeight="1" x14ac:dyDescent="0.3">
      <c r="A20" s="66"/>
      <c r="B20" s="15" t="s">
        <v>216</v>
      </c>
      <c r="C20" s="5" t="s">
        <v>217</v>
      </c>
      <c r="D20" s="5" t="s">
        <v>218</v>
      </c>
      <c r="E20" s="5" t="s">
        <v>219</v>
      </c>
      <c r="F20" s="5" t="s">
        <v>220</v>
      </c>
      <c r="G20" s="5" t="s">
        <v>221</v>
      </c>
      <c r="H20" s="5" t="s">
        <v>222</v>
      </c>
      <c r="I20" s="5" t="s">
        <v>223</v>
      </c>
      <c r="J20" s="5" t="s">
        <v>224</v>
      </c>
      <c r="K20" s="5" t="s">
        <v>225</v>
      </c>
      <c r="L20" s="5" t="s">
        <v>226</v>
      </c>
      <c r="M20" s="5" t="s">
        <v>202</v>
      </c>
      <c r="N20" s="5" t="s">
        <v>203</v>
      </c>
      <c r="O20" s="5" t="s">
        <v>204</v>
      </c>
      <c r="P20" s="5" t="s">
        <v>205</v>
      </c>
      <c r="Q20" s="5" t="s">
        <v>206</v>
      </c>
      <c r="R20" s="5" t="s">
        <v>207</v>
      </c>
      <c r="S20" s="5" t="s">
        <v>208</v>
      </c>
      <c r="T20" s="137"/>
      <c r="U20" s="137"/>
      <c r="V20" s="137"/>
      <c r="W20" s="137"/>
      <c r="X20" s="66"/>
      <c r="Y20" s="66"/>
    </row>
    <row r="21" spans="1:25" ht="24.75" customHeight="1" x14ac:dyDescent="0.3">
      <c r="A21" s="66"/>
      <c r="B21" s="6" t="s">
        <v>227</v>
      </c>
      <c r="C21" s="13">
        <v>1400000</v>
      </c>
      <c r="D21" s="13">
        <v>19800000</v>
      </c>
      <c r="E21" s="13">
        <v>84500000</v>
      </c>
      <c r="F21" s="13">
        <v>211600000</v>
      </c>
      <c r="G21" s="13">
        <v>429800000</v>
      </c>
      <c r="H21" s="13">
        <v>691400000</v>
      </c>
      <c r="I21" s="13">
        <v>1153200000</v>
      </c>
      <c r="J21" s="13">
        <v>1715400000</v>
      </c>
      <c r="K21" s="13">
        <v>2344700000</v>
      </c>
      <c r="L21" s="47">
        <f>3002600000</f>
        <v>3002600000</v>
      </c>
      <c r="M21" s="47">
        <v>3764700000</v>
      </c>
      <c r="N21" s="47">
        <v>4559500000</v>
      </c>
      <c r="O21" s="47">
        <v>5442800000</v>
      </c>
      <c r="P21" s="47">
        <v>6424097000</v>
      </c>
      <c r="Q21" s="47">
        <v>7653843402.3071308</v>
      </c>
      <c r="R21" s="47">
        <v>9152219571.9666824</v>
      </c>
      <c r="S21" s="47">
        <v>10101149108.68</v>
      </c>
      <c r="T21" s="137"/>
      <c r="U21" s="137"/>
      <c r="V21" s="137"/>
      <c r="W21" s="137"/>
      <c r="X21" s="66"/>
      <c r="Y21" s="66"/>
    </row>
    <row r="22" spans="1:25" x14ac:dyDescent="0.3">
      <c r="A22" s="66"/>
      <c r="B22" s="6" t="s">
        <v>228</v>
      </c>
      <c r="C22" s="13">
        <v>12997.1693670485</v>
      </c>
      <c r="D22" s="13">
        <v>187713.304494382</v>
      </c>
      <c r="E22" s="13">
        <v>653580.80466569797</v>
      </c>
      <c r="F22" s="13">
        <v>1265042.7655790001</v>
      </c>
      <c r="G22" s="13">
        <v>2136490.2403814155</v>
      </c>
      <c r="H22" s="13">
        <v>2958586.2127598412</v>
      </c>
      <c r="I22" s="13">
        <v>3934604.1171026533</v>
      </c>
      <c r="J22" s="13">
        <v>4855779.8367007999</v>
      </c>
      <c r="K22" s="47">
        <v>5452538.5959787779</v>
      </c>
      <c r="L22" s="47">
        <v>5721960.3020907417</v>
      </c>
      <c r="M22" s="47">
        <v>33597909.552505702</v>
      </c>
      <c r="N22" s="47">
        <v>41111935.064689398</v>
      </c>
      <c r="O22" s="47">
        <v>49782658.144593798</v>
      </c>
      <c r="P22" s="47">
        <v>59434169.137077436</v>
      </c>
      <c r="Q22" s="47">
        <v>70358375.164017603</v>
      </c>
      <c r="R22" s="47">
        <v>82474110.986843407</v>
      </c>
      <c r="S22" s="47">
        <v>89087290</v>
      </c>
      <c r="T22" s="137"/>
      <c r="U22" s="137"/>
      <c r="V22" s="137"/>
      <c r="W22" s="137"/>
      <c r="X22" s="66"/>
      <c r="Y22" s="66"/>
    </row>
    <row r="23" spans="1:25" x14ac:dyDescent="0.3">
      <c r="A23" s="66"/>
      <c r="B23" s="6" t="s">
        <v>229</v>
      </c>
      <c r="C23" s="13">
        <v>6331.6852338317221</v>
      </c>
      <c r="D23" s="13">
        <v>91446.185295863368</v>
      </c>
      <c r="E23" s="13">
        <v>318397.63052633096</v>
      </c>
      <c r="F23" s="13">
        <v>616276.69631584862</v>
      </c>
      <c r="G23" s="13">
        <v>1040809.9891000015</v>
      </c>
      <c r="H23" s="13">
        <v>1441301.2639384875</v>
      </c>
      <c r="I23" s="13">
        <v>1916776.9600966366</v>
      </c>
      <c r="J23" s="13">
        <v>2365535.8041824256</v>
      </c>
      <c r="K23" s="47">
        <v>2656252.0761315832</v>
      </c>
      <c r="L23" s="47">
        <v>2787503.2270620135</v>
      </c>
      <c r="M23" s="47">
        <v>16367516.787197396</v>
      </c>
      <c r="N23" s="47">
        <v>20028040.324172158</v>
      </c>
      <c r="O23" s="47">
        <v>24252059.242542364</v>
      </c>
      <c r="P23" s="47">
        <v>28953877.608486351</v>
      </c>
      <c r="Q23" s="47">
        <v>27095994.441448353</v>
      </c>
      <c r="R23" s="47">
        <v>31761933.780497164</v>
      </c>
      <c r="S23" s="47">
        <v>29842315</v>
      </c>
      <c r="T23" s="137"/>
      <c r="U23" s="137"/>
      <c r="V23" s="137"/>
      <c r="W23" s="137"/>
      <c r="X23" s="66"/>
      <c r="Y23" s="66"/>
    </row>
    <row r="24" spans="1:25" x14ac:dyDescent="0.3">
      <c r="A24" s="66"/>
      <c r="B24" s="6" t="s">
        <v>230</v>
      </c>
      <c r="C24" s="13">
        <v>1367.5346077390329</v>
      </c>
      <c r="D24" s="13">
        <v>19750.795960229669</v>
      </c>
      <c r="E24" s="13">
        <v>68768.386722749681</v>
      </c>
      <c r="F24" s="13">
        <v>133105.11799478374</v>
      </c>
      <c r="G24" s="13">
        <v>224796.97388768932</v>
      </c>
      <c r="H24" s="13">
        <v>311296.16931716795</v>
      </c>
      <c r="I24" s="13">
        <v>413990.70412454358</v>
      </c>
      <c r="J24" s="13">
        <v>510914.86051456281</v>
      </c>
      <c r="K24" s="47">
        <v>573704.55208025558</v>
      </c>
      <c r="L24" s="47">
        <v>602052.53284276754</v>
      </c>
      <c r="M24" s="47">
        <v>3535100.8179692002</v>
      </c>
      <c r="N24" s="47">
        <v>4325710.6531689325</v>
      </c>
      <c r="O24" s="47">
        <v>5238025.754328805</v>
      </c>
      <c r="P24" s="47">
        <v>6294321.2192361634</v>
      </c>
      <c r="Q24" s="47">
        <v>5890433.574227904</v>
      </c>
      <c r="R24" s="47">
        <v>6904768.2131515583</v>
      </c>
      <c r="S24" s="47">
        <v>6487460</v>
      </c>
      <c r="T24" s="137"/>
      <c r="U24" s="137"/>
      <c r="V24" s="137"/>
      <c r="W24" s="137"/>
      <c r="X24" s="66"/>
      <c r="Y24" s="66"/>
    </row>
    <row r="25" spans="1:25" x14ac:dyDescent="0.3">
      <c r="A25" s="66"/>
      <c r="B25" s="6" t="s">
        <v>231</v>
      </c>
      <c r="C25" s="13">
        <v>8222.9678361450933</v>
      </c>
      <c r="D25" s="13">
        <v>118761.27960501735</v>
      </c>
      <c r="E25" s="13">
        <v>413503.41626796231</v>
      </c>
      <c r="F25" s="13">
        <v>800359.34586473845</v>
      </c>
      <c r="G25" s="13">
        <v>1351701.2845454565</v>
      </c>
      <c r="H25" s="13">
        <v>1871819.8232967372</v>
      </c>
      <c r="I25" s="13">
        <v>2489320.7273982293</v>
      </c>
      <c r="J25" s="13">
        <v>3072124.4210161371</v>
      </c>
      <c r="K25" s="47">
        <v>3449678.0209501078</v>
      </c>
      <c r="L25" s="47">
        <v>3620134.0611194978</v>
      </c>
      <c r="M25" s="47">
        <v>21256515.308048565</v>
      </c>
      <c r="N25" s="47">
        <v>26010441.979444358</v>
      </c>
      <c r="O25" s="47">
        <v>31496180.834470604</v>
      </c>
      <c r="P25" s="47">
        <v>35309606.839617498</v>
      </c>
      <c r="Q25" s="47">
        <v>33043895.66030287</v>
      </c>
      <c r="R25" s="47">
        <v>38734065.585972153</v>
      </c>
      <c r="S25" s="47">
        <v>36393067</v>
      </c>
      <c r="T25" s="137"/>
      <c r="U25" s="137"/>
      <c r="V25" s="137"/>
      <c r="W25" s="137"/>
      <c r="X25" s="66"/>
      <c r="Y25" s="66"/>
    </row>
    <row r="26" spans="1:25" x14ac:dyDescent="0.3">
      <c r="A26" s="66"/>
      <c r="B26" s="6" t="s">
        <v>232</v>
      </c>
      <c r="C26" s="13">
        <v>1502.2155995201688</v>
      </c>
      <c r="D26" s="13">
        <v>21695.943653996994</v>
      </c>
      <c r="E26" s="13">
        <v>75541.008398716833</v>
      </c>
      <c r="F26" s="13">
        <v>146213.91187921868</v>
      </c>
      <c r="G26" s="13">
        <v>246935.99634551778</v>
      </c>
      <c r="H26" s="13">
        <v>341954.02366618585</v>
      </c>
      <c r="I26" s="13">
        <v>454762.38061750465</v>
      </c>
      <c r="J26" s="13">
        <v>561232.06619288027</v>
      </c>
      <c r="K26" s="47">
        <v>630205.57050147711</v>
      </c>
      <c r="L26" s="47">
        <v>661345.38859116274</v>
      </c>
      <c r="M26" s="47">
        <v>3883253.5312651061</v>
      </c>
      <c r="N26" s="47">
        <v>4751726.1979530053</v>
      </c>
      <c r="O26" s="47">
        <v>5753890.2155101486</v>
      </c>
      <c r="P26" s="47">
        <v>6869413.9085850017</v>
      </c>
      <c r="Q26" s="47">
        <v>8087169.5590824839</v>
      </c>
      <c r="R26" s="47">
        <v>9401973.4367126562</v>
      </c>
      <c r="S26" s="47">
        <v>10325370</v>
      </c>
      <c r="T26" s="137"/>
      <c r="U26" s="137"/>
      <c r="V26" s="137"/>
      <c r="W26" s="137"/>
      <c r="X26" s="66"/>
      <c r="Y26" s="66"/>
    </row>
    <row r="27" spans="1:25" x14ac:dyDescent="0.3">
      <c r="A27" s="66"/>
      <c r="B27" s="103"/>
      <c r="C27" s="103"/>
      <c r="D27" s="134"/>
      <c r="E27" s="134"/>
      <c r="F27" s="134"/>
      <c r="G27" s="134"/>
      <c r="H27" s="135"/>
      <c r="I27" s="135"/>
      <c r="J27" s="135"/>
      <c r="K27" s="134"/>
      <c r="L27" s="134"/>
      <c r="M27" s="136"/>
      <c r="N27" s="66"/>
      <c r="O27" s="66"/>
      <c r="P27" s="66"/>
      <c r="Q27" s="137"/>
      <c r="R27" s="137"/>
      <c r="S27" s="137"/>
      <c r="T27" s="137"/>
      <c r="U27" s="137"/>
      <c r="V27" s="137"/>
      <c r="W27" s="137"/>
      <c r="X27" s="66"/>
      <c r="Y27" s="66"/>
    </row>
    <row r="28" spans="1:25" x14ac:dyDescent="0.3">
      <c r="A28" s="66"/>
      <c r="B28" s="102" t="s">
        <v>111</v>
      </c>
      <c r="C28" s="102"/>
      <c r="D28" s="103"/>
      <c r="E28" s="102"/>
      <c r="F28" s="102"/>
      <c r="G28" s="104"/>
      <c r="H28" s="107"/>
      <c r="I28" s="107"/>
      <c r="J28" s="107"/>
      <c r="K28" s="104"/>
      <c r="L28" s="104"/>
      <c r="M28" s="108"/>
      <c r="N28" s="66"/>
      <c r="O28" s="66"/>
      <c r="P28" s="66"/>
      <c r="Q28" s="66"/>
      <c r="R28" s="66"/>
      <c r="S28" s="66"/>
      <c r="T28" s="66"/>
      <c r="U28" s="137"/>
      <c r="V28" s="137"/>
      <c r="W28" s="137"/>
      <c r="X28" s="66"/>
      <c r="Y28" s="66"/>
    </row>
    <row r="29" spans="1:25" ht="29.85" customHeight="1" x14ac:dyDescent="0.3">
      <c r="A29" s="66"/>
      <c r="B29" s="279" t="s">
        <v>233</v>
      </c>
      <c r="C29" s="279"/>
      <c r="D29" s="279"/>
      <c r="E29" s="279"/>
      <c r="F29" s="279"/>
      <c r="G29" s="279"/>
      <c r="H29" s="279"/>
      <c r="I29" s="279"/>
      <c r="J29" s="279"/>
      <c r="K29" s="279"/>
      <c r="L29" s="279"/>
      <c r="M29" s="279"/>
      <c r="N29" s="66"/>
      <c r="O29" s="66"/>
      <c r="P29" s="66"/>
      <c r="Q29" s="66"/>
      <c r="R29" s="66"/>
      <c r="S29" s="66"/>
      <c r="T29" s="66"/>
      <c r="U29" s="137"/>
      <c r="V29" s="137"/>
      <c r="W29" s="66"/>
      <c r="X29" s="66"/>
    </row>
    <row r="30" spans="1:25" ht="27.75" customHeight="1" x14ac:dyDescent="0.3">
      <c r="A30" s="66"/>
      <c r="B30" s="276" t="s">
        <v>234</v>
      </c>
      <c r="C30" s="277"/>
      <c r="D30" s="277"/>
      <c r="E30" s="277"/>
      <c r="F30" s="277"/>
      <c r="G30" s="277"/>
      <c r="H30" s="277"/>
      <c r="I30" s="277"/>
      <c r="J30" s="277"/>
      <c r="K30" s="277"/>
      <c r="L30" s="277"/>
      <c r="M30" s="278"/>
      <c r="N30" s="66"/>
      <c r="O30" s="66"/>
      <c r="P30" s="66"/>
      <c r="Q30" s="66"/>
      <c r="R30" s="66"/>
      <c r="S30" s="66"/>
      <c r="T30" s="66"/>
      <c r="U30" s="137"/>
      <c r="V30" s="137"/>
      <c r="W30" s="66"/>
      <c r="X30" s="66"/>
    </row>
    <row r="31" spans="1:25" ht="45" customHeight="1" x14ac:dyDescent="0.3">
      <c r="A31" s="66"/>
      <c r="B31" s="276" t="s">
        <v>235</v>
      </c>
      <c r="C31" s="277"/>
      <c r="D31" s="277"/>
      <c r="E31" s="277"/>
      <c r="F31" s="277"/>
      <c r="G31" s="277"/>
      <c r="H31" s="277"/>
      <c r="I31" s="277"/>
      <c r="J31" s="277"/>
      <c r="K31" s="277"/>
      <c r="L31" s="277"/>
      <c r="M31" s="278"/>
      <c r="N31" s="66"/>
      <c r="O31" s="66"/>
      <c r="P31" s="66"/>
      <c r="Q31" s="66"/>
      <c r="R31" s="66"/>
      <c r="S31" s="66"/>
      <c r="T31" s="66"/>
      <c r="U31" s="137"/>
      <c r="V31" s="137"/>
      <c r="W31" s="66"/>
      <c r="X31" s="66"/>
    </row>
    <row r="32" spans="1:25" ht="20.85" customHeight="1" x14ac:dyDescent="0.3">
      <c r="A32" s="66"/>
      <c r="B32" s="313" t="s">
        <v>236</v>
      </c>
      <c r="C32" s="313"/>
      <c r="D32" s="313"/>
      <c r="E32" s="313"/>
      <c r="F32" s="313"/>
      <c r="G32" s="313"/>
      <c r="H32" s="313"/>
      <c r="I32" s="313"/>
      <c r="J32" s="313"/>
      <c r="K32" s="313"/>
      <c r="L32" s="313"/>
      <c r="M32" s="313"/>
      <c r="N32" s="66"/>
      <c r="O32" s="66"/>
      <c r="P32" s="66"/>
      <c r="Q32" s="66"/>
      <c r="R32" s="66"/>
      <c r="S32" s="66"/>
      <c r="T32" s="66"/>
      <c r="U32" s="137"/>
      <c r="V32" s="137"/>
      <c r="W32" s="66"/>
      <c r="X32" s="66"/>
    </row>
    <row r="33" spans="1:25" ht="30" customHeight="1" x14ac:dyDescent="0.3">
      <c r="A33" s="66"/>
      <c r="B33" s="310" t="s">
        <v>237</v>
      </c>
      <c r="C33" s="311"/>
      <c r="D33" s="311"/>
      <c r="E33" s="311"/>
      <c r="F33" s="311"/>
      <c r="G33" s="311"/>
      <c r="H33" s="311"/>
      <c r="I33" s="311"/>
      <c r="J33" s="311"/>
      <c r="K33" s="311"/>
      <c r="L33" s="311"/>
      <c r="M33" s="312"/>
      <c r="N33" s="66"/>
      <c r="O33" s="66"/>
      <c r="P33" s="66"/>
      <c r="Q33" s="66"/>
      <c r="R33" s="66"/>
      <c r="S33" s="66"/>
      <c r="T33" s="66"/>
      <c r="U33" s="137"/>
      <c r="V33" s="137"/>
      <c r="W33" s="66"/>
      <c r="X33" s="66"/>
    </row>
    <row r="34" spans="1:25" ht="30" customHeight="1" x14ac:dyDescent="0.3">
      <c r="A34" s="66"/>
      <c r="B34" s="309" t="s">
        <v>238</v>
      </c>
      <c r="C34" s="309"/>
      <c r="D34" s="309"/>
      <c r="E34" s="309"/>
      <c r="F34" s="309"/>
      <c r="G34" s="309"/>
      <c r="H34" s="309"/>
      <c r="I34" s="309"/>
      <c r="J34" s="309"/>
      <c r="K34" s="309"/>
      <c r="L34" s="309"/>
      <c r="M34" s="309"/>
      <c r="N34" s="66"/>
      <c r="O34" s="66"/>
      <c r="P34" s="66"/>
      <c r="Q34" s="66"/>
      <c r="R34" s="66"/>
      <c r="S34" s="66"/>
      <c r="T34" s="66"/>
      <c r="U34" s="137"/>
      <c r="V34" s="137"/>
      <c r="W34" s="66"/>
      <c r="X34" s="66"/>
    </row>
    <row r="35" spans="1:25" ht="33.75" customHeight="1" x14ac:dyDescent="0.3">
      <c r="A35" s="66"/>
      <c r="B35" s="309" t="s">
        <v>239</v>
      </c>
      <c r="C35" s="309"/>
      <c r="D35" s="309"/>
      <c r="E35" s="309"/>
      <c r="F35" s="309"/>
      <c r="G35" s="309"/>
      <c r="H35" s="309"/>
      <c r="I35" s="309"/>
      <c r="J35" s="309"/>
      <c r="K35" s="309"/>
      <c r="L35" s="309"/>
      <c r="M35" s="309"/>
      <c r="N35" s="66"/>
      <c r="O35" s="66"/>
      <c r="P35" s="66"/>
      <c r="Q35" s="66"/>
      <c r="R35" s="66"/>
      <c r="S35" s="66"/>
      <c r="T35" s="66"/>
      <c r="U35" s="137"/>
      <c r="V35" s="137"/>
      <c r="W35" s="66"/>
      <c r="X35" s="66"/>
    </row>
    <row r="36" spans="1:25" ht="27.75" customHeight="1" x14ac:dyDescent="0.3">
      <c r="A36" s="66"/>
      <c r="B36" s="309" t="s">
        <v>240</v>
      </c>
      <c r="C36" s="309"/>
      <c r="D36" s="309"/>
      <c r="E36" s="309"/>
      <c r="F36" s="309"/>
      <c r="G36" s="309"/>
      <c r="H36" s="309"/>
      <c r="I36" s="309"/>
      <c r="J36" s="309"/>
      <c r="K36" s="309"/>
      <c r="L36" s="309"/>
      <c r="M36" s="309"/>
      <c r="N36" s="66"/>
      <c r="O36" s="66"/>
      <c r="P36" s="66"/>
      <c r="Q36" s="66"/>
      <c r="R36" s="66"/>
      <c r="S36" s="66"/>
      <c r="T36" s="66"/>
      <c r="U36" s="66"/>
      <c r="V36" s="66"/>
      <c r="W36" s="66"/>
      <c r="X36" s="66"/>
      <c r="Y36" s="66"/>
    </row>
    <row r="37" spans="1:25" ht="15" customHeight="1" x14ac:dyDescent="0.3">
      <c r="A37" s="66"/>
      <c r="B37" s="66"/>
      <c r="C37" s="66"/>
      <c r="D37" s="66"/>
      <c r="E37" s="66"/>
      <c r="F37" s="66"/>
      <c r="G37" s="66"/>
      <c r="H37" s="66"/>
      <c r="I37" s="66"/>
      <c r="J37" s="66"/>
      <c r="K37" s="66"/>
      <c r="L37" s="66"/>
      <c r="M37" s="66"/>
      <c r="N37" s="66"/>
      <c r="O37" s="66"/>
      <c r="P37" s="66"/>
      <c r="Q37" s="66"/>
      <c r="R37" s="66"/>
      <c r="S37" s="66"/>
      <c r="T37" s="66"/>
      <c r="U37" s="66"/>
      <c r="V37" s="66"/>
      <c r="W37" s="66"/>
      <c r="X37" s="66"/>
      <c r="Y37" s="66"/>
    </row>
    <row r="38" spans="1:25" x14ac:dyDescent="0.3">
      <c r="A38" s="66"/>
      <c r="B38" s="66"/>
      <c r="C38" s="66"/>
      <c r="D38" s="66"/>
      <c r="E38" s="66"/>
      <c r="F38" s="66"/>
      <c r="G38" s="66"/>
      <c r="H38" s="66"/>
      <c r="I38" s="66"/>
      <c r="J38" s="66"/>
      <c r="K38" s="66"/>
      <c r="L38" s="66"/>
      <c r="M38" s="66"/>
      <c r="N38" s="66"/>
      <c r="O38" s="66"/>
      <c r="P38" s="66"/>
      <c r="Q38" s="66"/>
      <c r="R38" s="66"/>
      <c r="S38" s="66"/>
      <c r="T38" s="66"/>
      <c r="U38" s="66"/>
      <c r="V38" s="66"/>
      <c r="W38" s="66"/>
      <c r="X38" s="66"/>
      <c r="Y38" s="66"/>
    </row>
    <row r="39" spans="1:25" x14ac:dyDescent="0.3">
      <c r="A39" s="66"/>
      <c r="B39" s="66"/>
      <c r="C39" s="66"/>
      <c r="D39" s="66"/>
      <c r="E39" s="66"/>
      <c r="F39" s="66"/>
      <c r="G39" s="66"/>
      <c r="H39" s="66"/>
      <c r="I39" s="66"/>
      <c r="J39" s="66"/>
      <c r="K39" s="66"/>
      <c r="L39" s="66"/>
      <c r="M39" s="66"/>
      <c r="N39" s="66"/>
      <c r="O39" s="66"/>
      <c r="P39" s="66"/>
      <c r="Q39" s="66"/>
      <c r="R39" s="66"/>
      <c r="S39" s="66"/>
      <c r="T39" s="66"/>
      <c r="U39" s="66"/>
      <c r="V39" s="66"/>
      <c r="W39" s="66"/>
      <c r="X39" s="66"/>
      <c r="Y39" s="66"/>
    </row>
    <row r="40" spans="1:25" x14ac:dyDescent="0.3">
      <c r="A40" s="66"/>
      <c r="B40" s="66"/>
      <c r="C40" s="66"/>
      <c r="D40" s="66"/>
      <c r="E40" s="66"/>
      <c r="F40" s="66"/>
      <c r="G40" s="66"/>
      <c r="H40" s="66"/>
      <c r="I40" s="66"/>
      <c r="J40" s="66"/>
      <c r="K40" s="66"/>
      <c r="L40" s="66"/>
      <c r="M40" s="66"/>
      <c r="N40" s="66"/>
      <c r="O40" s="66"/>
      <c r="P40" s="66"/>
      <c r="Q40" s="66"/>
      <c r="R40" s="66"/>
      <c r="S40" s="66"/>
      <c r="T40" s="66"/>
      <c r="U40" s="66"/>
      <c r="V40" s="66"/>
      <c r="W40" s="66"/>
      <c r="X40" s="66"/>
      <c r="Y40" s="66"/>
    </row>
    <row r="41" spans="1:25" x14ac:dyDescent="0.3">
      <c r="A41" s="66"/>
      <c r="B41" s="66"/>
      <c r="C41" s="66"/>
      <c r="D41" s="66"/>
      <c r="E41" s="66"/>
      <c r="F41" s="66"/>
      <c r="G41" s="66"/>
      <c r="H41" s="66"/>
      <c r="I41" s="66"/>
      <c r="J41" s="66"/>
      <c r="K41" s="66"/>
      <c r="L41" s="66"/>
      <c r="M41" s="66"/>
      <c r="N41" s="66"/>
      <c r="O41" s="66"/>
      <c r="P41" s="66"/>
      <c r="Q41" s="66"/>
      <c r="R41" s="66"/>
      <c r="S41" s="66"/>
      <c r="T41" s="66"/>
      <c r="U41" s="66"/>
      <c r="V41" s="66"/>
      <c r="W41" s="66"/>
      <c r="X41" s="66"/>
      <c r="Y41" s="66"/>
    </row>
    <row r="42" spans="1:25" hidden="1" x14ac:dyDescent="0.3">
      <c r="A42" s="66"/>
      <c r="B42" s="66"/>
      <c r="C42" s="66"/>
      <c r="D42" s="66"/>
      <c r="E42" s="66"/>
      <c r="F42" s="66"/>
      <c r="G42" s="66"/>
      <c r="H42" s="66"/>
      <c r="I42" s="66"/>
      <c r="J42" s="66"/>
      <c r="K42" s="66"/>
      <c r="L42" s="66"/>
      <c r="M42" s="66"/>
      <c r="N42" s="66"/>
      <c r="O42" s="66"/>
      <c r="P42" s="66"/>
      <c r="Q42" s="66"/>
      <c r="R42" s="66"/>
      <c r="S42" s="66"/>
      <c r="T42" s="66"/>
      <c r="U42" s="66"/>
      <c r="V42" s="66"/>
      <c r="W42" s="66"/>
      <c r="X42" s="66"/>
      <c r="Y42" s="66"/>
    </row>
    <row r="43" spans="1:25" hidden="1" x14ac:dyDescent="0.3">
      <c r="A43" s="66"/>
      <c r="B43" s="66"/>
      <c r="C43" s="66"/>
      <c r="D43" s="66"/>
      <c r="E43" s="66"/>
      <c r="F43" s="66"/>
      <c r="G43" s="66"/>
      <c r="H43" s="66"/>
      <c r="I43" s="66"/>
      <c r="J43" s="66"/>
      <c r="K43" s="66"/>
      <c r="L43" s="66"/>
      <c r="M43" s="66"/>
      <c r="N43" s="66"/>
      <c r="O43" s="66"/>
      <c r="P43" s="66"/>
      <c r="Q43" s="66"/>
      <c r="R43" s="66"/>
      <c r="S43" s="66"/>
      <c r="T43" s="66"/>
      <c r="U43" s="66"/>
      <c r="V43" s="66"/>
      <c r="W43" s="66"/>
      <c r="X43" s="66"/>
      <c r="Y43" s="66"/>
    </row>
    <row r="44" spans="1:25" hidden="1" x14ac:dyDescent="0.3">
      <c r="A44" s="66"/>
      <c r="B44" s="66"/>
      <c r="C44" s="66"/>
      <c r="D44" s="66"/>
      <c r="E44" s="66"/>
      <c r="F44" s="66"/>
      <c r="G44" s="66"/>
      <c r="H44" s="66"/>
      <c r="I44" s="66"/>
      <c r="J44" s="66"/>
      <c r="K44" s="66"/>
      <c r="L44" s="66"/>
      <c r="M44" s="66"/>
      <c r="N44" s="66"/>
      <c r="O44" s="66"/>
      <c r="P44" s="66"/>
      <c r="Q44" s="66"/>
      <c r="R44" s="66"/>
      <c r="S44" s="66"/>
      <c r="T44" s="66"/>
      <c r="U44" s="66"/>
      <c r="V44" s="66"/>
      <c r="W44" s="66"/>
      <c r="X44" s="66"/>
      <c r="Y44" s="66"/>
    </row>
    <row r="45" spans="1:25" hidden="1" x14ac:dyDescent="0.3">
      <c r="A45" s="66"/>
      <c r="B45" s="66"/>
      <c r="C45" s="66"/>
      <c r="D45" s="66"/>
      <c r="E45" s="66"/>
      <c r="F45" s="66"/>
      <c r="G45" s="66"/>
      <c r="H45" s="66"/>
      <c r="I45" s="66"/>
      <c r="J45" s="66"/>
      <c r="K45" s="66"/>
      <c r="L45" s="66"/>
      <c r="M45" s="66"/>
      <c r="N45" s="66"/>
      <c r="O45" s="66"/>
      <c r="P45" s="66"/>
      <c r="Q45" s="66"/>
      <c r="R45" s="66"/>
      <c r="S45" s="66"/>
      <c r="T45" s="66"/>
      <c r="U45" s="66"/>
      <c r="V45" s="66"/>
      <c r="W45" s="66"/>
      <c r="X45" s="66"/>
      <c r="Y45" s="66"/>
    </row>
    <row r="46" spans="1:25" hidden="1" x14ac:dyDescent="0.3">
      <c r="A46" s="66"/>
      <c r="B46" s="66"/>
      <c r="C46" s="66"/>
      <c r="D46" s="66"/>
      <c r="E46" s="66"/>
      <c r="F46" s="66"/>
      <c r="G46" s="66"/>
      <c r="H46" s="66"/>
      <c r="I46" s="66"/>
      <c r="J46" s="66"/>
      <c r="K46" s="66"/>
      <c r="L46" s="66"/>
      <c r="M46" s="66"/>
      <c r="N46" s="66"/>
      <c r="O46" s="66"/>
      <c r="P46" s="66"/>
      <c r="Q46" s="66"/>
      <c r="R46" s="66"/>
      <c r="S46" s="66"/>
      <c r="T46" s="66"/>
      <c r="U46" s="66"/>
      <c r="V46" s="66"/>
      <c r="W46" s="66"/>
      <c r="X46" s="66"/>
      <c r="Y46" s="66"/>
    </row>
    <row r="47" spans="1:25" hidden="1" x14ac:dyDescent="0.3">
      <c r="A47" s="66"/>
      <c r="B47" s="66"/>
      <c r="C47" s="66"/>
      <c r="D47" s="66"/>
      <c r="E47" s="66"/>
      <c r="F47" s="66"/>
      <c r="G47" s="66"/>
      <c r="H47" s="66"/>
      <c r="I47" s="66"/>
      <c r="J47" s="66"/>
      <c r="K47" s="66"/>
      <c r="L47" s="66"/>
      <c r="M47" s="66"/>
      <c r="N47" s="66"/>
      <c r="O47" s="66"/>
      <c r="P47" s="66"/>
      <c r="Q47" s="66"/>
      <c r="R47" s="66"/>
      <c r="S47" s="66"/>
      <c r="T47" s="66"/>
      <c r="U47" s="66"/>
      <c r="V47" s="66"/>
      <c r="W47" s="66"/>
      <c r="X47" s="66"/>
      <c r="Y47" s="66"/>
    </row>
    <row r="48" spans="1:25" hidden="1" x14ac:dyDescent="0.3">
      <c r="A48" s="66"/>
      <c r="B48" s="66"/>
      <c r="C48" s="66"/>
      <c r="D48" s="66"/>
      <c r="E48" s="66"/>
      <c r="F48" s="66"/>
      <c r="G48" s="66"/>
      <c r="H48" s="66"/>
      <c r="I48" s="66"/>
      <c r="J48" s="66"/>
      <c r="K48" s="66"/>
      <c r="L48" s="66"/>
      <c r="M48" s="66"/>
      <c r="N48" s="66"/>
      <c r="O48" s="66"/>
      <c r="P48" s="66"/>
      <c r="Q48" s="66"/>
      <c r="R48" s="66"/>
      <c r="S48" s="66"/>
      <c r="T48" s="66"/>
      <c r="U48" s="66"/>
      <c r="V48" s="66"/>
      <c r="W48" s="66"/>
      <c r="X48" s="66"/>
      <c r="Y48" s="66"/>
    </row>
    <row r="49" spans="1:25" hidden="1" x14ac:dyDescent="0.3">
      <c r="A49" s="66"/>
      <c r="B49" s="66"/>
      <c r="C49" s="66"/>
      <c r="D49" s="66"/>
      <c r="E49" s="66"/>
      <c r="F49" s="66"/>
      <c r="G49" s="66"/>
      <c r="H49" s="66"/>
      <c r="I49" s="66"/>
      <c r="J49" s="66"/>
      <c r="K49" s="66"/>
      <c r="L49" s="66"/>
      <c r="M49" s="66"/>
      <c r="N49" s="66"/>
      <c r="O49" s="66"/>
      <c r="P49" s="66"/>
      <c r="Q49" s="66"/>
      <c r="R49" s="66"/>
      <c r="S49" s="66"/>
      <c r="T49" s="66"/>
      <c r="U49" s="66"/>
      <c r="V49" s="66"/>
      <c r="W49" s="66"/>
      <c r="X49" s="66"/>
      <c r="Y49" s="66"/>
    </row>
    <row r="50" spans="1:25" hidden="1" x14ac:dyDescent="0.3">
      <c r="A50" s="66"/>
      <c r="B50" s="66"/>
      <c r="C50" s="66"/>
      <c r="D50" s="66"/>
      <c r="E50" s="66"/>
      <c r="F50" s="66"/>
      <c r="G50" s="66"/>
      <c r="H50" s="66"/>
      <c r="I50" s="66"/>
      <c r="J50" s="66"/>
      <c r="K50" s="66"/>
      <c r="L50" s="66"/>
      <c r="M50" s="66"/>
      <c r="N50" s="66"/>
      <c r="O50" s="66"/>
      <c r="P50" s="66"/>
      <c r="Q50" s="66"/>
      <c r="R50" s="66"/>
      <c r="S50" s="66"/>
      <c r="T50" s="66"/>
      <c r="U50" s="66"/>
      <c r="V50" s="66"/>
      <c r="W50" s="66"/>
      <c r="X50" s="66"/>
      <c r="Y50" s="66"/>
    </row>
    <row r="51" spans="1:25" hidden="1" x14ac:dyDescent="0.3">
      <c r="A51" s="66"/>
      <c r="B51" s="66"/>
      <c r="C51" s="66"/>
      <c r="D51" s="66"/>
      <c r="E51" s="66"/>
      <c r="F51" s="66"/>
      <c r="G51" s="66"/>
      <c r="H51" s="66"/>
      <c r="I51" s="66"/>
      <c r="J51" s="66"/>
      <c r="K51" s="66"/>
      <c r="L51" s="66"/>
      <c r="M51" s="66"/>
      <c r="N51" s="66"/>
      <c r="O51" s="66"/>
      <c r="P51" s="66"/>
      <c r="Q51" s="66"/>
      <c r="R51" s="66"/>
      <c r="S51" s="66"/>
      <c r="T51" s="66"/>
      <c r="U51" s="66"/>
      <c r="V51" s="66"/>
      <c r="W51" s="66"/>
      <c r="X51" s="66"/>
      <c r="Y51" s="66"/>
    </row>
    <row r="52" spans="1:25" hidden="1" x14ac:dyDescent="0.3">
      <c r="A52" s="66"/>
      <c r="B52" s="66"/>
      <c r="C52" s="66"/>
      <c r="D52" s="66"/>
      <c r="E52" s="66"/>
      <c r="F52" s="66"/>
      <c r="G52" s="66"/>
      <c r="H52" s="66"/>
      <c r="I52" s="66"/>
      <c r="J52" s="66"/>
      <c r="K52" s="66"/>
      <c r="L52" s="66"/>
      <c r="M52" s="66"/>
      <c r="N52" s="66"/>
      <c r="O52" s="66"/>
      <c r="P52" s="66"/>
      <c r="Q52" s="66"/>
      <c r="R52" s="66"/>
      <c r="S52" s="66"/>
      <c r="T52" s="66"/>
      <c r="U52" s="66"/>
      <c r="V52" s="66"/>
      <c r="W52" s="66"/>
      <c r="X52" s="66"/>
      <c r="Y52" s="66"/>
    </row>
    <row r="53" spans="1:25" hidden="1" x14ac:dyDescent="0.3">
      <c r="A53" s="66"/>
      <c r="B53" s="66"/>
      <c r="C53" s="66"/>
      <c r="D53" s="66"/>
      <c r="E53" s="66"/>
      <c r="F53" s="66"/>
      <c r="G53" s="66"/>
      <c r="H53" s="66"/>
      <c r="I53" s="66"/>
      <c r="J53" s="66"/>
      <c r="K53" s="66"/>
      <c r="L53" s="66"/>
      <c r="M53" s="66"/>
      <c r="N53" s="66"/>
      <c r="O53" s="66"/>
      <c r="P53" s="66"/>
      <c r="Q53" s="66"/>
      <c r="R53" s="66"/>
      <c r="S53" s="66"/>
      <c r="T53" s="66"/>
      <c r="U53" s="66"/>
      <c r="V53" s="66"/>
      <c r="W53" s="66"/>
      <c r="X53" s="66"/>
      <c r="Y53" s="66"/>
    </row>
    <row r="54" spans="1:25" hidden="1" x14ac:dyDescent="0.3">
      <c r="A54" s="66"/>
      <c r="B54" s="66"/>
      <c r="C54" s="66"/>
      <c r="D54" s="66"/>
      <c r="E54" s="66"/>
      <c r="F54" s="66"/>
      <c r="G54" s="66"/>
      <c r="H54" s="66"/>
      <c r="I54" s="66"/>
      <c r="J54" s="66"/>
      <c r="K54" s="66"/>
      <c r="L54" s="66"/>
      <c r="M54" s="66"/>
      <c r="N54" s="66"/>
      <c r="O54" s="66"/>
      <c r="P54" s="66"/>
      <c r="Q54" s="66"/>
      <c r="R54" s="66"/>
      <c r="S54" s="66"/>
      <c r="T54" s="66"/>
      <c r="U54" s="66"/>
      <c r="V54" s="66"/>
      <c r="W54" s="66"/>
      <c r="X54" s="66"/>
      <c r="Y54" s="66"/>
    </row>
    <row r="55" spans="1:25" hidden="1" x14ac:dyDescent="0.3">
      <c r="A55" s="66"/>
      <c r="B55" s="66"/>
      <c r="C55" s="66"/>
      <c r="D55" s="66"/>
      <c r="E55" s="66"/>
      <c r="F55" s="66"/>
      <c r="G55" s="66"/>
      <c r="H55" s="66"/>
      <c r="I55" s="66"/>
      <c r="J55" s="66"/>
      <c r="K55" s="66"/>
      <c r="L55" s="66"/>
      <c r="M55" s="66"/>
      <c r="N55" s="66"/>
      <c r="O55" s="66"/>
      <c r="P55" s="66"/>
      <c r="Q55" s="66"/>
      <c r="R55" s="66"/>
      <c r="S55" s="66"/>
      <c r="T55" s="66"/>
      <c r="U55" s="66"/>
      <c r="V55" s="66"/>
      <c r="W55" s="66"/>
      <c r="X55" s="66"/>
      <c r="Y55" s="66"/>
    </row>
    <row r="56" spans="1:25" hidden="1" x14ac:dyDescent="0.3">
      <c r="A56" s="66"/>
      <c r="B56" s="66"/>
      <c r="C56" s="66"/>
      <c r="D56" s="66"/>
      <c r="E56" s="66"/>
      <c r="F56" s="66"/>
      <c r="G56" s="66"/>
      <c r="H56" s="66"/>
      <c r="I56" s="66"/>
      <c r="J56" s="66"/>
      <c r="K56" s="66"/>
      <c r="L56" s="66"/>
      <c r="M56" s="66"/>
      <c r="N56" s="66"/>
      <c r="O56" s="66"/>
      <c r="P56" s="66"/>
      <c r="Q56" s="66"/>
      <c r="R56" s="66"/>
      <c r="S56" s="66"/>
      <c r="T56" s="66"/>
      <c r="U56" s="66"/>
      <c r="V56" s="66"/>
      <c r="W56" s="66"/>
      <c r="X56" s="66"/>
      <c r="Y56" s="66"/>
    </row>
    <row r="57" spans="1:25" hidden="1" x14ac:dyDescent="0.3">
      <c r="A57" s="66"/>
      <c r="B57" s="66"/>
      <c r="C57" s="66"/>
      <c r="D57" s="66"/>
      <c r="E57" s="66"/>
      <c r="F57" s="66"/>
      <c r="G57" s="66"/>
      <c r="H57" s="66"/>
      <c r="I57" s="66"/>
      <c r="J57" s="66"/>
      <c r="K57" s="66"/>
      <c r="L57" s="66"/>
      <c r="M57" s="66"/>
      <c r="N57" s="66"/>
      <c r="O57" s="66"/>
      <c r="P57" s="66"/>
      <c r="Q57" s="66"/>
      <c r="R57" s="66"/>
      <c r="S57" s="66"/>
      <c r="T57" s="66"/>
      <c r="U57" s="66"/>
      <c r="V57" s="66"/>
      <c r="W57" s="66"/>
      <c r="X57" s="66"/>
      <c r="Y57" s="66"/>
    </row>
    <row r="58" spans="1:25" hidden="1" x14ac:dyDescent="0.3">
      <c r="A58" s="66"/>
      <c r="B58" s="66"/>
      <c r="C58" s="66"/>
      <c r="D58" s="66"/>
      <c r="E58" s="66"/>
      <c r="F58" s="66"/>
      <c r="G58" s="66"/>
      <c r="H58" s="66"/>
      <c r="I58" s="66"/>
      <c r="J58" s="66"/>
      <c r="K58" s="66"/>
      <c r="L58" s="66"/>
      <c r="M58" s="66"/>
      <c r="N58" s="66"/>
      <c r="O58" s="66"/>
      <c r="P58" s="66"/>
      <c r="Q58" s="66"/>
      <c r="R58" s="66"/>
      <c r="S58" s="66"/>
      <c r="T58" s="66"/>
      <c r="U58" s="66"/>
      <c r="V58" s="66"/>
      <c r="W58" s="66"/>
      <c r="X58" s="66"/>
      <c r="Y58" s="66"/>
    </row>
  </sheetData>
  <mergeCells count="9">
    <mergeCell ref="B36:M36"/>
    <mergeCell ref="B35:M35"/>
    <mergeCell ref="B33:M33"/>
    <mergeCell ref="B34:M34"/>
    <mergeCell ref="B5:L7"/>
    <mergeCell ref="B30:M30"/>
    <mergeCell ref="B29:M29"/>
    <mergeCell ref="B32:M32"/>
    <mergeCell ref="B31:M31"/>
  </mergeCells>
  <phoneticPr fontId="30" type="noConversion"/>
  <printOptions horizontalCentered="1" headings="1"/>
  <pageMargins left="0.5" right="0.5" top="1.25" bottom="1" header="0.5" footer="0.5"/>
  <pageSetup scale="53" fitToHeight="0" orientation="landscape" r:id="rId1"/>
  <headerFooter scaleWithDoc="0">
    <oddHeader>&amp;R&amp;"Arial,Bold"ICC Docket No. 17-0312
Statewide Quarterly Report ComEd 2019 Q4
Tab: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4.9989318521683403E-2"/>
    <pageSetUpPr fitToPage="1"/>
  </sheetPr>
  <dimension ref="A1:M57"/>
  <sheetViews>
    <sheetView workbookViewId="0">
      <selection activeCell="D35" sqref="D35"/>
    </sheetView>
  </sheetViews>
  <sheetFormatPr defaultColWidth="0" defaultRowHeight="14.4" zeroHeight="1" x14ac:dyDescent="0.3"/>
  <cols>
    <col min="1" max="1" width="2.5546875" customWidth="1"/>
    <col min="2" max="2" width="4.5546875" style="3" customWidth="1"/>
    <col min="3" max="3" width="4.5546875" customWidth="1"/>
    <col min="4" max="4" width="76.5546875" customWidth="1"/>
    <col min="5" max="5" width="15.109375" customWidth="1"/>
    <col min="6" max="6" width="44.109375" customWidth="1"/>
    <col min="7" max="7" width="30.6640625" bestFit="1" customWidth="1"/>
    <col min="8" max="8" width="10.5546875" bestFit="1" customWidth="1"/>
    <col min="9" max="10" width="9.109375" customWidth="1"/>
    <col min="11" max="11" width="9.109375" hidden="1" customWidth="1"/>
    <col min="12" max="13" width="0" hidden="1" customWidth="1"/>
    <col min="14" max="16384" width="9.109375" hidden="1"/>
  </cols>
  <sheetData>
    <row r="1" spans="1:13" ht="16.5" customHeight="1" x14ac:dyDescent="0.35">
      <c r="A1" s="66"/>
      <c r="B1" s="73" t="s">
        <v>0</v>
      </c>
      <c r="C1" s="66"/>
      <c r="D1" s="66"/>
      <c r="E1" s="92"/>
      <c r="F1" s="92"/>
      <c r="G1" s="66"/>
      <c r="H1" s="66"/>
      <c r="I1" s="66"/>
      <c r="J1" s="66"/>
      <c r="K1" s="66"/>
      <c r="L1" s="66"/>
      <c r="M1" s="66"/>
    </row>
    <row r="2" spans="1:13" ht="14.25" customHeight="1" x14ac:dyDescent="0.35">
      <c r="A2" s="66"/>
      <c r="B2" s="73" t="s">
        <v>241</v>
      </c>
      <c r="C2" s="66"/>
      <c r="D2" s="66"/>
      <c r="E2" s="93"/>
      <c r="F2" s="93"/>
      <c r="G2" s="66"/>
      <c r="H2" s="66"/>
      <c r="I2" s="66"/>
      <c r="J2" s="66"/>
      <c r="K2" s="66"/>
      <c r="L2" s="66"/>
      <c r="M2" s="66"/>
    </row>
    <row r="3" spans="1:13" ht="15.6" x14ac:dyDescent="0.3">
      <c r="A3" s="66"/>
      <c r="B3" s="73"/>
      <c r="C3" s="66"/>
      <c r="D3" s="66"/>
      <c r="E3" s="94"/>
      <c r="F3" s="94"/>
      <c r="G3" s="66"/>
      <c r="H3" s="66"/>
      <c r="I3" s="66"/>
      <c r="J3" s="66"/>
      <c r="K3" s="66"/>
      <c r="L3" s="66"/>
      <c r="M3" s="66"/>
    </row>
    <row r="4" spans="1:13" ht="18" x14ac:dyDescent="0.35">
      <c r="A4" s="66"/>
      <c r="B4" s="95"/>
      <c r="C4" s="66"/>
      <c r="D4" s="66"/>
      <c r="E4" s="94"/>
      <c r="F4" s="94"/>
      <c r="G4" s="66"/>
      <c r="H4" s="66"/>
      <c r="I4" s="66"/>
      <c r="J4" s="66"/>
      <c r="K4" s="66"/>
      <c r="L4" s="66"/>
      <c r="M4" s="66"/>
    </row>
    <row r="5" spans="1:13" ht="22.5" customHeight="1" x14ac:dyDescent="0.3">
      <c r="A5" s="66"/>
      <c r="B5" s="286" t="s">
        <v>242</v>
      </c>
      <c r="C5" s="286"/>
      <c r="D5" s="286"/>
      <c r="E5" s="96"/>
      <c r="F5" s="96"/>
      <c r="G5" s="96"/>
      <c r="H5" s="96"/>
      <c r="I5" s="96"/>
      <c r="J5" s="96"/>
      <c r="K5" s="96"/>
      <c r="L5" s="66"/>
      <c r="M5" s="66"/>
    </row>
    <row r="6" spans="1:13" ht="27" customHeight="1" x14ac:dyDescent="0.3">
      <c r="A6" s="66"/>
      <c r="B6" s="286"/>
      <c r="C6" s="286"/>
      <c r="D6" s="286"/>
      <c r="E6" s="96"/>
      <c r="F6" s="96"/>
      <c r="G6" s="96"/>
      <c r="H6" s="96"/>
      <c r="I6" s="96"/>
      <c r="J6" s="96"/>
      <c r="K6" s="96"/>
      <c r="L6" s="66"/>
      <c r="M6" s="66"/>
    </row>
    <row r="7" spans="1:13" ht="22.5" customHeight="1" x14ac:dyDescent="0.3">
      <c r="A7" s="66"/>
      <c r="B7" s="97"/>
      <c r="C7" s="97"/>
      <c r="D7" s="97"/>
      <c r="E7" s="96"/>
      <c r="F7" s="96"/>
      <c r="G7" s="96"/>
      <c r="H7" s="96"/>
      <c r="I7" s="96"/>
      <c r="J7" s="96"/>
      <c r="K7" s="96"/>
      <c r="L7" s="66"/>
      <c r="M7" s="66"/>
    </row>
    <row r="8" spans="1:13" ht="22.5" customHeight="1" x14ac:dyDescent="0.3">
      <c r="A8" s="66"/>
      <c r="B8" s="316" t="s">
        <v>243</v>
      </c>
      <c r="C8" s="316"/>
      <c r="D8" s="316"/>
      <c r="E8" s="96"/>
      <c r="F8" s="96"/>
      <c r="G8" s="96"/>
      <c r="H8" s="96"/>
      <c r="I8" s="96"/>
      <c r="J8" s="96"/>
      <c r="K8" s="96"/>
      <c r="L8" s="66"/>
      <c r="M8" s="66"/>
    </row>
    <row r="9" spans="1:13" ht="21" customHeight="1" x14ac:dyDescent="0.3">
      <c r="A9" s="66"/>
      <c r="B9" s="327" t="s">
        <v>244</v>
      </c>
      <c r="C9" s="327"/>
      <c r="D9" s="327"/>
      <c r="E9" s="97"/>
      <c r="F9" s="97"/>
      <c r="G9" s="97"/>
      <c r="H9" s="97"/>
      <c r="I9" s="97"/>
      <c r="J9" s="97"/>
      <c r="K9" s="97"/>
      <c r="L9" s="66"/>
      <c r="M9" s="66"/>
    </row>
    <row r="10" spans="1:13" ht="21" customHeight="1" x14ac:dyDescent="0.3">
      <c r="A10" s="66"/>
      <c r="B10" s="328" t="s">
        <v>245</v>
      </c>
      <c r="C10" s="328"/>
      <c r="D10" s="328"/>
      <c r="E10" s="97"/>
      <c r="F10" s="97"/>
      <c r="G10" s="97"/>
      <c r="H10" s="97"/>
      <c r="I10" s="97"/>
      <c r="J10" s="97"/>
      <c r="K10" s="97"/>
      <c r="L10" s="66"/>
      <c r="M10" s="66"/>
    </row>
    <row r="11" spans="1:13" ht="21" customHeight="1" x14ac:dyDescent="0.3">
      <c r="A11" s="66"/>
      <c r="B11" s="329" t="s">
        <v>246</v>
      </c>
      <c r="C11" s="329"/>
      <c r="D11" s="329"/>
      <c r="E11" s="97"/>
      <c r="F11" s="97"/>
      <c r="G11" s="97"/>
      <c r="H11" s="97"/>
      <c r="I11" s="97"/>
      <c r="J11" s="97"/>
      <c r="K11" s="97"/>
      <c r="L11" s="66"/>
      <c r="M11" s="66"/>
    </row>
    <row r="12" spans="1:13" ht="21" customHeight="1" x14ac:dyDescent="0.3">
      <c r="A12" s="66"/>
      <c r="B12" s="111"/>
      <c r="C12" s="111"/>
      <c r="D12" s="111"/>
      <c r="E12" s="97"/>
      <c r="F12" s="97"/>
      <c r="G12" s="97"/>
      <c r="H12" s="97"/>
      <c r="I12" s="97"/>
      <c r="J12" s="97"/>
      <c r="K12" s="97"/>
      <c r="L12" s="66"/>
      <c r="M12" s="66"/>
    </row>
    <row r="13" spans="1:13" ht="21" customHeight="1" x14ac:dyDescent="0.3">
      <c r="A13" s="66"/>
      <c r="B13" s="112" t="s">
        <v>247</v>
      </c>
      <c r="C13" s="111"/>
      <c r="D13" s="111"/>
      <c r="E13" s="97"/>
      <c r="F13" s="97"/>
      <c r="G13" s="97"/>
      <c r="H13" s="97"/>
      <c r="I13" s="97"/>
      <c r="J13" s="97"/>
      <c r="K13" s="97"/>
      <c r="L13" s="66"/>
      <c r="M13" s="66"/>
    </row>
    <row r="14" spans="1:13" ht="21" customHeight="1" x14ac:dyDescent="0.3">
      <c r="A14" s="66"/>
      <c r="B14" s="229" t="str">
        <f>'1- Ex Ante Results'!A19</f>
        <v>CY2024 Q2</v>
      </c>
      <c r="C14" s="228"/>
      <c r="D14" s="228"/>
      <c r="E14" s="97"/>
      <c r="F14" s="97"/>
      <c r="G14" s="97"/>
      <c r="H14" s="97"/>
      <c r="I14" s="97"/>
      <c r="J14" s="97"/>
      <c r="K14" s="97"/>
      <c r="L14" s="66"/>
      <c r="M14" s="66"/>
    </row>
    <row r="15" spans="1:13" ht="18" customHeight="1" x14ac:dyDescent="0.3">
      <c r="A15" s="66"/>
      <c r="B15" s="317" t="str">
        <f>"Cumulative Persisting Annual Savings (CPAS) Goal Progress "&amp;'1- Ex Ante Results'!A19</f>
        <v>Cumulative Persisting Annual Savings (CPAS) Goal Progress CY2024 Q2</v>
      </c>
      <c r="C15" s="317"/>
      <c r="D15" s="317"/>
      <c r="E15" s="317"/>
      <c r="F15" s="317"/>
      <c r="G15" s="66"/>
      <c r="H15" s="66"/>
      <c r="I15" s="66"/>
      <c r="J15" s="66"/>
      <c r="K15" s="66"/>
      <c r="L15" s="66"/>
      <c r="M15" s="66"/>
    </row>
    <row r="16" spans="1:13" x14ac:dyDescent="0.3">
      <c r="A16" s="66"/>
      <c r="B16" s="45" t="s">
        <v>248</v>
      </c>
      <c r="C16" s="318" t="s">
        <v>249</v>
      </c>
      <c r="D16" s="319"/>
      <c r="E16" s="170">
        <v>0.157</v>
      </c>
      <c r="F16" s="59" t="s">
        <v>250</v>
      </c>
      <c r="G16" s="66"/>
      <c r="H16" s="66"/>
      <c r="I16" s="66"/>
      <c r="J16" s="66"/>
      <c r="K16" s="66"/>
      <c r="L16" s="66"/>
      <c r="M16" s="66"/>
    </row>
    <row r="17" spans="1:13" x14ac:dyDescent="0.3">
      <c r="A17" s="66"/>
      <c r="B17" s="45" t="s">
        <v>251</v>
      </c>
      <c r="C17" s="318" t="s">
        <v>252</v>
      </c>
      <c r="D17" s="319"/>
      <c r="E17" s="171">
        <v>83000528.09633334</v>
      </c>
      <c r="F17" s="59" t="s">
        <v>250</v>
      </c>
      <c r="G17" s="110"/>
      <c r="H17" s="66"/>
      <c r="I17" s="66"/>
      <c r="J17" s="66"/>
      <c r="K17" s="66"/>
      <c r="L17" s="66"/>
      <c r="M17" s="66"/>
    </row>
    <row r="18" spans="1:13" x14ac:dyDescent="0.3">
      <c r="A18" s="66"/>
      <c r="B18" s="45" t="s">
        <v>253</v>
      </c>
      <c r="C18" s="318" t="s">
        <v>254</v>
      </c>
      <c r="D18" s="319"/>
      <c r="E18" s="172">
        <f>E17*E16</f>
        <v>13031082.911124334</v>
      </c>
      <c r="F18" s="60" t="s">
        <v>255</v>
      </c>
      <c r="G18" s="66"/>
      <c r="H18" s="66"/>
      <c r="I18" s="66"/>
      <c r="J18" s="66"/>
      <c r="K18" s="66"/>
      <c r="L18" s="66"/>
      <c r="M18" s="66"/>
    </row>
    <row r="19" spans="1:13" x14ac:dyDescent="0.3">
      <c r="A19" s="66"/>
      <c r="B19" s="45" t="s">
        <v>256</v>
      </c>
      <c r="C19" s="318" t="s">
        <v>257</v>
      </c>
      <c r="D19" s="319"/>
      <c r="E19" s="173">
        <v>12042306.217</v>
      </c>
      <c r="F19" s="61" t="s">
        <v>258</v>
      </c>
      <c r="G19" s="66"/>
      <c r="H19" s="68"/>
      <c r="I19" s="66"/>
      <c r="J19" s="66"/>
      <c r="K19" s="66"/>
      <c r="L19" s="66"/>
      <c r="M19" s="66"/>
    </row>
    <row r="20" spans="1:13" ht="16.5" customHeight="1" x14ac:dyDescent="0.3">
      <c r="A20" s="66"/>
      <c r="B20" s="45"/>
      <c r="C20" s="324" t="s">
        <v>259</v>
      </c>
      <c r="D20" s="325"/>
      <c r="E20" s="325"/>
      <c r="F20" s="326"/>
      <c r="G20" s="66"/>
      <c r="H20" s="66"/>
      <c r="I20" s="66"/>
      <c r="J20" s="66"/>
      <c r="K20" s="66"/>
      <c r="L20" s="66"/>
      <c r="M20" s="66"/>
    </row>
    <row r="21" spans="1:13" x14ac:dyDescent="0.3">
      <c r="A21" s="66"/>
      <c r="B21" s="45" t="s">
        <v>260</v>
      </c>
      <c r="C21" s="335" t="s">
        <v>261</v>
      </c>
      <c r="D21" s="336"/>
      <c r="E21" s="170">
        <v>2.8000000000000001E-2</v>
      </c>
      <c r="F21" s="59" t="s">
        <v>262</v>
      </c>
      <c r="G21" s="66"/>
      <c r="H21" s="66"/>
      <c r="I21" s="66"/>
      <c r="J21" s="66"/>
      <c r="K21" s="66"/>
      <c r="L21" s="66"/>
      <c r="M21" s="66"/>
    </row>
    <row r="22" spans="1:13" x14ac:dyDescent="0.3">
      <c r="A22" s="66"/>
      <c r="B22" s="45" t="s">
        <v>263</v>
      </c>
      <c r="C22" s="335" t="s">
        <v>264</v>
      </c>
      <c r="D22" s="336"/>
      <c r="E22" s="170">
        <v>3.1E-2</v>
      </c>
      <c r="F22" s="59" t="s">
        <v>262</v>
      </c>
      <c r="G22" s="66"/>
      <c r="H22" s="69"/>
      <c r="I22" s="66"/>
      <c r="J22" s="106"/>
      <c r="K22" s="66"/>
      <c r="L22" s="66"/>
      <c r="M22" s="66"/>
    </row>
    <row r="23" spans="1:13" x14ac:dyDescent="0.3">
      <c r="A23" s="66"/>
      <c r="B23" s="45" t="s">
        <v>265</v>
      </c>
      <c r="C23" s="335" t="s">
        <v>266</v>
      </c>
      <c r="D23" s="336"/>
      <c r="E23" s="174">
        <f>E22-E21</f>
        <v>2.9999999999999992E-3</v>
      </c>
      <c r="F23" s="60" t="s">
        <v>267</v>
      </c>
      <c r="G23" s="66"/>
      <c r="H23" s="66"/>
      <c r="I23" s="66"/>
      <c r="J23" s="66"/>
      <c r="K23" s="66"/>
      <c r="L23" s="66"/>
      <c r="M23" s="66"/>
    </row>
    <row r="24" spans="1:13" x14ac:dyDescent="0.3">
      <c r="A24" s="71"/>
      <c r="B24" s="45" t="s">
        <v>268</v>
      </c>
      <c r="C24" s="335" t="s">
        <v>269</v>
      </c>
      <c r="D24" s="336"/>
      <c r="E24" s="172">
        <f>E23*E17</f>
        <v>249001.58428899996</v>
      </c>
      <c r="F24" s="60" t="s">
        <v>270</v>
      </c>
      <c r="G24" s="66"/>
      <c r="H24" s="66"/>
      <c r="I24" s="66"/>
      <c r="J24" s="66"/>
      <c r="K24" s="66"/>
      <c r="L24" s="66"/>
      <c r="M24" s="66"/>
    </row>
    <row r="25" spans="1:13" x14ac:dyDescent="0.3">
      <c r="A25" s="66"/>
      <c r="B25" s="45" t="s">
        <v>271</v>
      </c>
      <c r="C25" s="335" t="s">
        <v>272</v>
      </c>
      <c r="D25" s="336"/>
      <c r="E25" s="173">
        <v>506459.74099999998</v>
      </c>
      <c r="F25" s="61" t="s">
        <v>258</v>
      </c>
      <c r="G25" s="66"/>
      <c r="H25" s="66"/>
      <c r="I25" s="66"/>
      <c r="J25" s="66"/>
      <c r="K25" s="66"/>
      <c r="L25" s="66"/>
      <c r="M25" s="66"/>
    </row>
    <row r="26" spans="1:13" x14ac:dyDescent="0.3">
      <c r="A26" s="66"/>
      <c r="B26" s="45" t="s">
        <v>273</v>
      </c>
      <c r="C26" s="337" t="s">
        <v>274</v>
      </c>
      <c r="D26" s="338"/>
      <c r="E26" s="175">
        <f>E24+E25</f>
        <v>755461.32528899994</v>
      </c>
      <c r="F26" s="60" t="s">
        <v>275</v>
      </c>
      <c r="G26" s="66"/>
      <c r="H26" s="66"/>
      <c r="I26" s="66"/>
      <c r="J26" s="66"/>
      <c r="K26" s="66"/>
      <c r="L26" s="66"/>
      <c r="M26" s="66"/>
    </row>
    <row r="27" spans="1:13" x14ac:dyDescent="0.3">
      <c r="A27" s="66"/>
      <c r="B27" s="45" t="s">
        <v>276</v>
      </c>
      <c r="C27" s="318" t="s">
        <v>277</v>
      </c>
      <c r="D27" s="319"/>
      <c r="E27" s="172">
        <f>E18-E19+E26</f>
        <v>1744238.0194133334</v>
      </c>
      <c r="F27" s="60" t="s">
        <v>278</v>
      </c>
      <c r="G27" s="66"/>
      <c r="H27" s="66"/>
      <c r="I27" s="66"/>
      <c r="J27" s="66"/>
      <c r="K27" s="66"/>
      <c r="L27" s="66"/>
      <c r="M27" s="66"/>
    </row>
    <row r="28" spans="1:13" x14ac:dyDescent="0.3">
      <c r="A28" s="66"/>
      <c r="B28" s="45" t="s">
        <v>279</v>
      </c>
      <c r="C28" s="318" t="s">
        <v>280</v>
      </c>
      <c r="D28" s="319"/>
      <c r="E28" s="176">
        <f>'1- Ex Ante Results'!B115</f>
        <v>938235.73702779994</v>
      </c>
      <c r="F28" s="61" t="s">
        <v>281</v>
      </c>
      <c r="G28" s="70"/>
      <c r="H28" s="66"/>
      <c r="I28" s="66"/>
      <c r="J28" s="66"/>
      <c r="K28" s="66"/>
      <c r="L28" s="66"/>
      <c r="M28" s="66"/>
    </row>
    <row r="29" spans="1:13" x14ac:dyDescent="0.3">
      <c r="A29" s="66"/>
      <c r="B29" s="45" t="s">
        <v>282</v>
      </c>
      <c r="C29" s="318" t="s">
        <v>283</v>
      </c>
      <c r="D29" s="319"/>
      <c r="E29" s="176">
        <f>'1- Ex Ante Results'!B115</f>
        <v>938235.73702779994</v>
      </c>
      <c r="F29" s="61" t="s">
        <v>284</v>
      </c>
      <c r="G29" s="70"/>
      <c r="H29" s="66"/>
      <c r="I29" s="66"/>
      <c r="J29" s="66"/>
      <c r="K29" s="66"/>
      <c r="L29" s="66"/>
      <c r="M29" s="66"/>
    </row>
    <row r="30" spans="1:13" ht="27" customHeight="1" x14ac:dyDescent="0.3">
      <c r="A30" s="66"/>
      <c r="B30" s="45" t="s">
        <v>285</v>
      </c>
      <c r="C30" s="320" t="s">
        <v>286</v>
      </c>
      <c r="D30" s="321"/>
      <c r="E30" s="177">
        <f>E29/E27</f>
        <v>0.53790579415495787</v>
      </c>
      <c r="F30" s="60" t="s">
        <v>287</v>
      </c>
      <c r="G30" s="66"/>
      <c r="H30" s="66"/>
      <c r="I30" s="66"/>
      <c r="J30" s="66"/>
      <c r="K30" s="66"/>
      <c r="L30" s="66"/>
      <c r="M30" s="66"/>
    </row>
    <row r="31" spans="1:13" ht="18" customHeight="1" x14ac:dyDescent="0.3">
      <c r="A31" s="66"/>
      <c r="B31" s="330" t="s">
        <v>288</v>
      </c>
      <c r="C31" s="330"/>
      <c r="D31" s="330"/>
      <c r="E31" s="330"/>
      <c r="F31" s="330"/>
      <c r="G31" s="66"/>
      <c r="H31" s="66"/>
      <c r="I31" s="66"/>
      <c r="J31" s="66"/>
      <c r="K31" s="66"/>
      <c r="L31" s="66"/>
      <c r="M31" s="66"/>
    </row>
    <row r="32" spans="1:13" x14ac:dyDescent="0.3">
      <c r="A32" s="66"/>
      <c r="B32" s="45" t="s">
        <v>289</v>
      </c>
      <c r="C32" s="322" t="s">
        <v>290</v>
      </c>
      <c r="D32" s="323"/>
      <c r="E32" s="170">
        <v>0.14399999999999999</v>
      </c>
      <c r="F32" s="43" t="s">
        <v>250</v>
      </c>
      <c r="G32" s="66"/>
      <c r="H32" s="66"/>
      <c r="I32" s="66"/>
      <c r="J32" s="98"/>
      <c r="K32" s="66"/>
      <c r="L32" s="66"/>
      <c r="M32" s="66"/>
    </row>
    <row r="33" spans="1:13" x14ac:dyDescent="0.3">
      <c r="A33" s="66"/>
      <c r="B33" s="45" t="s">
        <v>291</v>
      </c>
      <c r="C33" s="322" t="s">
        <v>292</v>
      </c>
      <c r="D33" s="323"/>
      <c r="E33" s="178">
        <v>11952076.045871994</v>
      </c>
      <c r="F33" s="44" t="s">
        <v>293</v>
      </c>
      <c r="G33" s="66"/>
      <c r="H33" s="66"/>
      <c r="I33" s="66"/>
      <c r="J33" s="66"/>
      <c r="K33" s="66"/>
      <c r="L33" s="66"/>
      <c r="M33" s="66"/>
    </row>
    <row r="34" spans="1:13" x14ac:dyDescent="0.3">
      <c r="A34" s="66"/>
      <c r="B34" s="45" t="s">
        <v>294</v>
      </c>
      <c r="C34" s="42" t="s">
        <v>295</v>
      </c>
      <c r="D34" s="42"/>
      <c r="E34" s="178">
        <f>E18-E33</f>
        <v>1079006.8652523402</v>
      </c>
      <c r="F34" s="44" t="s">
        <v>296</v>
      </c>
      <c r="G34" s="66"/>
      <c r="H34" s="66"/>
      <c r="I34" s="66"/>
      <c r="J34" s="66"/>
      <c r="K34" s="66"/>
      <c r="L34" s="66"/>
      <c r="M34" s="66"/>
    </row>
    <row r="35" spans="1:13" x14ac:dyDescent="0.3">
      <c r="A35" s="66"/>
      <c r="B35" s="45" t="s">
        <v>297</v>
      </c>
      <c r="C35" s="42" t="s">
        <v>298</v>
      </c>
      <c r="D35" s="42"/>
      <c r="E35" s="178">
        <f>E34+E26</f>
        <v>1834468.19054134</v>
      </c>
      <c r="F35" s="44" t="s">
        <v>299</v>
      </c>
      <c r="G35" s="67"/>
      <c r="H35" s="66"/>
      <c r="I35" s="66"/>
      <c r="J35" s="66"/>
      <c r="K35" s="66"/>
      <c r="L35" s="66"/>
      <c r="M35" s="66"/>
    </row>
    <row r="36" spans="1:13" x14ac:dyDescent="0.3">
      <c r="A36" s="66"/>
      <c r="B36" s="45" t="s">
        <v>300</v>
      </c>
      <c r="C36" s="42" t="s">
        <v>301</v>
      </c>
      <c r="D36" s="42"/>
      <c r="E36" s="178">
        <f>E29</f>
        <v>938235.73702779994</v>
      </c>
      <c r="F36" s="44" t="s">
        <v>302</v>
      </c>
      <c r="G36" s="66"/>
      <c r="H36" s="67"/>
      <c r="I36" s="66"/>
      <c r="J36" s="66"/>
      <c r="K36" s="66"/>
      <c r="L36" s="66"/>
      <c r="M36" s="66"/>
    </row>
    <row r="37" spans="1:13" ht="32.85" customHeight="1" x14ac:dyDescent="0.3">
      <c r="A37" s="66"/>
      <c r="B37" s="45" t="s">
        <v>303</v>
      </c>
      <c r="C37" s="331" t="s">
        <v>304</v>
      </c>
      <c r="D37" s="332"/>
      <c r="E37" s="179">
        <f>E26</f>
        <v>755461.32528899994</v>
      </c>
      <c r="F37" s="44" t="s">
        <v>305</v>
      </c>
      <c r="G37" s="66"/>
      <c r="H37" s="66"/>
      <c r="I37" s="66"/>
      <c r="J37" s="66"/>
      <c r="K37" s="66"/>
      <c r="L37" s="66"/>
      <c r="M37" s="66"/>
    </row>
    <row r="38" spans="1:13" x14ac:dyDescent="0.3">
      <c r="A38" s="66"/>
      <c r="B38" s="45" t="s">
        <v>306</v>
      </c>
      <c r="C38" s="331" t="s">
        <v>307</v>
      </c>
      <c r="D38" s="332"/>
      <c r="E38" s="178">
        <f>E36-E37</f>
        <v>182774.4117388</v>
      </c>
      <c r="F38" s="44" t="s">
        <v>308</v>
      </c>
      <c r="G38" s="66"/>
      <c r="H38" s="66"/>
      <c r="I38" s="66"/>
      <c r="J38" s="66"/>
      <c r="K38" s="66"/>
      <c r="L38" s="66"/>
      <c r="M38" s="66"/>
    </row>
    <row r="39" spans="1:13" ht="30" customHeight="1" x14ac:dyDescent="0.3">
      <c r="A39" s="66"/>
      <c r="B39" s="45" t="s">
        <v>309</v>
      </c>
      <c r="C39" s="333" t="s">
        <v>310</v>
      </c>
      <c r="D39" s="334"/>
      <c r="E39" s="180">
        <f>E38/E34</f>
        <v>0.1693913334796584</v>
      </c>
      <c r="F39" s="44" t="s">
        <v>311</v>
      </c>
      <c r="G39" s="66"/>
      <c r="H39" s="66"/>
      <c r="I39" s="66"/>
      <c r="J39" s="66"/>
      <c r="K39" s="66"/>
      <c r="L39" s="66"/>
      <c r="M39" s="66"/>
    </row>
    <row r="40" spans="1:13" x14ac:dyDescent="0.3">
      <c r="A40" s="66"/>
      <c r="B40" s="98"/>
      <c r="C40" s="99"/>
      <c r="D40" s="99"/>
      <c r="E40" s="100"/>
      <c r="F40" s="101"/>
      <c r="G40" s="66"/>
      <c r="H40" s="66"/>
      <c r="I40" s="66"/>
      <c r="J40" s="66"/>
      <c r="K40" s="66"/>
      <c r="L40" s="66"/>
      <c r="M40" s="66"/>
    </row>
    <row r="41" spans="1:13" x14ac:dyDescent="0.3">
      <c r="A41" s="66"/>
      <c r="B41" s="102" t="s">
        <v>111</v>
      </c>
      <c r="C41" s="103"/>
      <c r="D41" s="102"/>
      <c r="E41" s="102"/>
      <c r="F41" s="104"/>
      <c r="G41" s="107"/>
      <c r="H41" s="107"/>
      <c r="I41" s="107"/>
      <c r="J41" s="104"/>
      <c r="K41" s="104"/>
      <c r="L41" s="108"/>
      <c r="M41" s="66"/>
    </row>
    <row r="42" spans="1:13" ht="39" customHeight="1" x14ac:dyDescent="0.3">
      <c r="A42" s="66"/>
      <c r="B42" s="314" t="s">
        <v>312</v>
      </c>
      <c r="C42" s="315"/>
      <c r="D42" s="315"/>
      <c r="E42" s="315"/>
      <c r="F42" s="315"/>
      <c r="G42" s="109"/>
      <c r="H42" s="109"/>
      <c r="I42" s="109"/>
      <c r="J42" s="109"/>
      <c r="K42" s="109"/>
      <c r="L42" s="109"/>
      <c r="M42" s="66"/>
    </row>
    <row r="43" spans="1:13" ht="14.85" customHeight="1" x14ac:dyDescent="0.3">
      <c r="A43" s="66"/>
      <c r="B43" s="314" t="s">
        <v>313</v>
      </c>
      <c r="C43" s="315"/>
      <c r="D43" s="315"/>
      <c r="E43" s="315"/>
      <c r="F43" s="315"/>
      <c r="G43" s="66"/>
      <c r="H43" s="66"/>
      <c r="I43" s="66"/>
      <c r="J43" s="66"/>
      <c r="K43" s="66"/>
      <c r="L43" s="66"/>
      <c r="M43" s="66"/>
    </row>
    <row r="44" spans="1:13" x14ac:dyDescent="0.3">
      <c r="A44" s="66"/>
      <c r="B44" s="105"/>
      <c r="C44" s="66"/>
      <c r="D44" s="66"/>
      <c r="E44" s="66"/>
      <c r="F44" s="66"/>
      <c r="G44" s="66"/>
      <c r="H44" s="66"/>
      <c r="I44" s="66"/>
      <c r="J44" s="66"/>
      <c r="K44" s="66"/>
      <c r="L44" s="66"/>
      <c r="M44" s="66"/>
    </row>
    <row r="45" spans="1:13" x14ac:dyDescent="0.3">
      <c r="A45" s="66"/>
      <c r="B45" s="105"/>
      <c r="C45" s="66"/>
      <c r="D45" s="66"/>
      <c r="E45" s="66"/>
      <c r="F45" s="66"/>
      <c r="G45" s="66"/>
      <c r="H45" s="66"/>
      <c r="I45" s="66"/>
      <c r="J45" s="66"/>
      <c r="K45" s="66"/>
      <c r="L45" s="66"/>
      <c r="M45" s="66"/>
    </row>
    <row r="46" spans="1:13" x14ac:dyDescent="0.3">
      <c r="A46" s="66"/>
      <c r="B46" s="105"/>
      <c r="C46" s="66"/>
      <c r="D46" s="66"/>
      <c r="E46" s="66"/>
      <c r="F46" s="66"/>
      <c r="G46" s="66"/>
      <c r="H46" s="66"/>
      <c r="I46" s="66"/>
      <c r="J46" s="66"/>
      <c r="K46" s="66"/>
      <c r="L46" s="66"/>
      <c r="M46" s="66"/>
    </row>
    <row r="47" spans="1:13" x14ac:dyDescent="0.3">
      <c r="A47" s="66"/>
      <c r="B47" s="105"/>
      <c r="C47" s="66"/>
      <c r="D47" s="66"/>
      <c r="E47" s="66"/>
      <c r="F47" s="66"/>
      <c r="G47" s="66"/>
      <c r="H47" s="66"/>
      <c r="I47" s="66"/>
      <c r="J47" s="66"/>
      <c r="K47" s="66"/>
      <c r="L47" s="66"/>
      <c r="M47" s="66"/>
    </row>
    <row r="48" spans="1:13" x14ac:dyDescent="0.3">
      <c r="A48" s="66"/>
      <c r="B48" s="105"/>
      <c r="C48" s="66"/>
      <c r="D48" s="66"/>
      <c r="E48" s="66"/>
      <c r="F48" s="66"/>
      <c r="G48" s="66"/>
      <c r="H48" s="66"/>
      <c r="I48" s="66"/>
      <c r="J48" s="66"/>
      <c r="K48" s="66"/>
      <c r="L48" s="66"/>
      <c r="M48" s="66"/>
    </row>
    <row r="49" spans="1:13" x14ac:dyDescent="0.3">
      <c r="A49" s="66"/>
      <c r="B49" s="105"/>
      <c r="C49" s="66"/>
      <c r="D49" s="66"/>
      <c r="E49" s="66"/>
      <c r="F49" s="66"/>
      <c r="G49" s="66"/>
      <c r="H49" s="66"/>
      <c r="I49" s="66"/>
      <c r="J49" s="66"/>
      <c r="K49" s="66"/>
      <c r="L49" s="66"/>
      <c r="M49" s="66"/>
    </row>
    <row r="50" spans="1:13" x14ac:dyDescent="0.3">
      <c r="A50" s="66"/>
      <c r="B50" s="105"/>
      <c r="C50" s="66"/>
      <c r="D50" s="66"/>
      <c r="E50" s="66"/>
      <c r="F50" s="66"/>
      <c r="G50" s="66"/>
      <c r="H50" s="66"/>
      <c r="I50" s="66"/>
      <c r="J50" s="66"/>
      <c r="K50" s="66"/>
      <c r="L50" s="66"/>
      <c r="M50" s="66"/>
    </row>
    <row r="51" spans="1:13" x14ac:dyDescent="0.3">
      <c r="A51" s="66"/>
      <c r="B51" s="105"/>
      <c r="C51" s="66"/>
      <c r="D51" s="66"/>
      <c r="E51" s="66"/>
      <c r="F51" s="66"/>
      <c r="G51" s="66"/>
      <c r="H51" s="66"/>
      <c r="I51" s="66"/>
      <c r="J51" s="66"/>
      <c r="K51" s="66"/>
      <c r="L51" s="66"/>
      <c r="M51" s="66"/>
    </row>
    <row r="52" spans="1:13" x14ac:dyDescent="0.3">
      <c r="A52" s="66"/>
      <c r="B52" s="105"/>
      <c r="C52" s="66"/>
      <c r="D52" s="66"/>
      <c r="E52" s="66"/>
      <c r="F52" s="66"/>
      <c r="G52" s="66"/>
      <c r="H52" s="66"/>
      <c r="I52" s="66"/>
      <c r="J52" s="66"/>
      <c r="K52" s="66"/>
      <c r="L52" s="66"/>
      <c r="M52" s="66"/>
    </row>
    <row r="53" spans="1:13" x14ac:dyDescent="0.3">
      <c r="A53" s="66"/>
      <c r="B53" s="105"/>
      <c r="C53" s="66"/>
      <c r="D53" s="66"/>
      <c r="E53" s="66"/>
      <c r="F53" s="66"/>
      <c r="G53" s="66"/>
      <c r="H53" s="66"/>
      <c r="I53" s="66"/>
      <c r="J53" s="66"/>
      <c r="K53" s="66"/>
      <c r="L53" s="66"/>
      <c r="M53" s="66"/>
    </row>
    <row r="54" spans="1:13" x14ac:dyDescent="0.3">
      <c r="A54" s="66"/>
      <c r="B54" s="105"/>
      <c r="C54" s="66"/>
      <c r="D54" s="66"/>
      <c r="E54" s="66"/>
      <c r="F54" s="66"/>
      <c r="G54" s="66"/>
      <c r="H54" s="66"/>
      <c r="I54" s="66"/>
      <c r="J54" s="66"/>
      <c r="K54" s="66"/>
      <c r="L54" s="66"/>
      <c r="M54" s="66"/>
    </row>
    <row r="55" spans="1:13" x14ac:dyDescent="0.3">
      <c r="A55" s="66"/>
      <c r="B55" s="105"/>
      <c r="C55" s="66"/>
      <c r="D55" s="66"/>
      <c r="E55" s="66"/>
      <c r="F55" s="66"/>
      <c r="G55" s="66"/>
      <c r="H55" s="66"/>
      <c r="I55" s="66"/>
      <c r="J55" s="66"/>
      <c r="K55" s="66"/>
      <c r="L55" s="66"/>
      <c r="M55" s="66"/>
    </row>
    <row r="56" spans="1:13" x14ac:dyDescent="0.3">
      <c r="A56" s="66"/>
      <c r="B56" s="105"/>
      <c r="C56" s="66"/>
      <c r="D56" s="66"/>
      <c r="E56" s="66"/>
      <c r="F56" s="66"/>
      <c r="G56" s="66"/>
      <c r="H56" s="66"/>
      <c r="I56" s="66"/>
      <c r="J56" s="66"/>
      <c r="K56" s="66"/>
      <c r="L56" s="66"/>
      <c r="M56" s="66"/>
    </row>
    <row r="57" spans="1:13" x14ac:dyDescent="0.3">
      <c r="A57" s="66"/>
      <c r="B57" s="105"/>
      <c r="C57" s="66"/>
      <c r="D57" s="66"/>
      <c r="E57" s="66"/>
      <c r="F57" s="66"/>
      <c r="G57" s="66"/>
      <c r="H57" s="66"/>
      <c r="I57" s="66"/>
      <c r="J57" s="66"/>
      <c r="K57" s="66"/>
      <c r="L57" s="66"/>
      <c r="M57" s="66"/>
    </row>
  </sheetData>
  <mergeCells count="29">
    <mergeCell ref="C39:D39"/>
    <mergeCell ref="C21:D21"/>
    <mergeCell ref="C22:D22"/>
    <mergeCell ref="C23:D23"/>
    <mergeCell ref="C24:D24"/>
    <mergeCell ref="C25:D25"/>
    <mergeCell ref="C26:D26"/>
    <mergeCell ref="C27:D27"/>
    <mergeCell ref="B10:D10"/>
    <mergeCell ref="B11:D11"/>
    <mergeCell ref="B31:F31"/>
    <mergeCell ref="C37:D37"/>
    <mergeCell ref="C38:D38"/>
    <mergeCell ref="B43:F43"/>
    <mergeCell ref="B5:D6"/>
    <mergeCell ref="B8:D8"/>
    <mergeCell ref="B15:F15"/>
    <mergeCell ref="C19:D19"/>
    <mergeCell ref="C16:D16"/>
    <mergeCell ref="C17:D17"/>
    <mergeCell ref="C18:D18"/>
    <mergeCell ref="C28:D28"/>
    <mergeCell ref="C29:D29"/>
    <mergeCell ref="C30:D30"/>
    <mergeCell ref="C32:D32"/>
    <mergeCell ref="C33:D33"/>
    <mergeCell ref="B42:F42"/>
    <mergeCell ref="C20:F20"/>
    <mergeCell ref="B9:D9"/>
  </mergeCells>
  <printOptions horizontalCentered="1" headings="1"/>
  <pageMargins left="1" right="1" top="1.25" bottom="1" header="0.5" footer="0.5"/>
  <pageSetup scale="10" orientation="portrait" r:id="rId1"/>
  <headerFooter scaleWithDoc="0">
    <oddHeader>&amp;R&amp;"Arial,Bold"ICC Docket No. 17-0312
Statewide Quarterly Report ComEd 2019 Q4
Tab: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4.9989318521683403E-2"/>
    <pageSetUpPr fitToPage="1"/>
  </sheetPr>
  <dimension ref="A1:K42"/>
  <sheetViews>
    <sheetView tabSelected="1" workbookViewId="0">
      <selection activeCell="C33" sqref="C33"/>
    </sheetView>
  </sheetViews>
  <sheetFormatPr defaultColWidth="0" defaultRowHeight="14.4" zeroHeight="1" x14ac:dyDescent="0.3"/>
  <cols>
    <col min="1" max="1" width="6.109375" customWidth="1"/>
    <col min="2" max="2" width="33.109375" style="12" customWidth="1"/>
    <col min="3" max="3" width="19.109375" bestFit="1" customWidth="1"/>
    <col min="4" max="4" width="20.109375" customWidth="1"/>
    <col min="5" max="5" width="18.88671875" customWidth="1"/>
    <col min="6" max="7" width="18.5546875" customWidth="1"/>
    <col min="8" max="8" width="8.88671875" customWidth="1"/>
    <col min="9" max="11" width="9.109375" customWidth="1"/>
    <col min="12" max="16384" width="9.109375" hidden="1"/>
  </cols>
  <sheetData>
    <row r="1" spans="1:11" x14ac:dyDescent="0.3">
      <c r="A1" s="66"/>
      <c r="B1" s="72" t="s">
        <v>0</v>
      </c>
      <c r="C1" s="66"/>
      <c r="D1" s="66"/>
      <c r="E1" s="66"/>
      <c r="F1" s="66"/>
      <c r="G1" s="66"/>
      <c r="H1" s="66"/>
      <c r="I1" s="66"/>
      <c r="J1" s="66"/>
      <c r="K1" s="66"/>
    </row>
    <row r="2" spans="1:11" x14ac:dyDescent="0.3">
      <c r="A2" s="66"/>
      <c r="B2" s="72" t="s">
        <v>314</v>
      </c>
      <c r="C2" s="66"/>
      <c r="D2" s="66"/>
      <c r="E2" s="66"/>
      <c r="F2" s="66"/>
      <c r="G2" s="66"/>
      <c r="H2" s="66"/>
      <c r="I2" s="66"/>
      <c r="J2" s="66"/>
      <c r="K2" s="66"/>
    </row>
    <row r="3" spans="1:11" x14ac:dyDescent="0.3">
      <c r="A3" s="66"/>
      <c r="B3" s="73"/>
      <c r="C3" s="66"/>
      <c r="D3" s="66"/>
      <c r="E3" s="66"/>
      <c r="F3" s="66"/>
      <c r="G3" s="66"/>
      <c r="H3" s="66"/>
      <c r="I3" s="66"/>
      <c r="J3" s="66"/>
      <c r="K3" s="66"/>
    </row>
    <row r="4" spans="1:11" x14ac:dyDescent="0.3">
      <c r="A4" s="66"/>
      <c r="B4" s="72"/>
      <c r="C4" s="66"/>
      <c r="D4" s="66"/>
      <c r="E4" s="66"/>
      <c r="F4" s="66"/>
      <c r="G4" s="66"/>
      <c r="H4" s="66"/>
      <c r="I4" s="66"/>
      <c r="J4" s="66"/>
      <c r="K4" s="66"/>
    </row>
    <row r="5" spans="1:11" ht="29.25" customHeight="1" x14ac:dyDescent="0.3">
      <c r="A5" s="66"/>
      <c r="B5" s="307" t="s">
        <v>315</v>
      </c>
      <c r="C5" s="307"/>
      <c r="D5" s="307"/>
      <c r="E5" s="307"/>
      <c r="F5" s="307"/>
      <c r="G5" s="307"/>
      <c r="H5" s="66"/>
      <c r="I5" s="66"/>
      <c r="J5" s="66"/>
      <c r="K5" s="66"/>
    </row>
    <row r="6" spans="1:11" x14ac:dyDescent="0.3">
      <c r="A6" s="66"/>
      <c r="B6" s="307"/>
      <c r="C6" s="307"/>
      <c r="D6" s="307"/>
      <c r="E6" s="307"/>
      <c r="F6" s="307"/>
      <c r="G6" s="307"/>
      <c r="H6" s="66"/>
      <c r="I6" s="66"/>
      <c r="J6" s="66"/>
      <c r="K6" s="66"/>
    </row>
    <row r="7" spans="1:11" x14ac:dyDescent="0.3">
      <c r="A7" s="66"/>
      <c r="B7" s="307"/>
      <c r="C7" s="307"/>
      <c r="D7" s="307"/>
      <c r="E7" s="307"/>
      <c r="F7" s="307"/>
      <c r="G7" s="307"/>
      <c r="H7" s="66"/>
      <c r="I7" s="66"/>
      <c r="J7" s="66"/>
      <c r="K7" s="66"/>
    </row>
    <row r="8" spans="1:11" x14ac:dyDescent="0.3">
      <c r="A8" s="66"/>
      <c r="B8" s="307"/>
      <c r="C8" s="307"/>
      <c r="D8" s="307"/>
      <c r="E8" s="307"/>
      <c r="F8" s="307"/>
      <c r="G8" s="307"/>
      <c r="H8" s="66"/>
      <c r="I8" s="66"/>
      <c r="J8" s="66"/>
      <c r="K8" s="66"/>
    </row>
    <row r="9" spans="1:11" ht="42" customHeight="1" x14ac:dyDescent="0.3">
      <c r="A9" s="66"/>
      <c r="B9" s="307"/>
      <c r="C9" s="307"/>
      <c r="D9" s="307"/>
      <c r="E9" s="307"/>
      <c r="F9" s="307"/>
      <c r="G9" s="307"/>
      <c r="H9" s="66"/>
      <c r="I9" s="66"/>
      <c r="J9" s="66"/>
      <c r="K9" s="66"/>
    </row>
    <row r="10" spans="1:11" x14ac:dyDescent="0.3">
      <c r="A10" s="66"/>
      <c r="B10" s="71"/>
      <c r="C10" s="66"/>
      <c r="D10" s="66"/>
      <c r="E10" s="66"/>
      <c r="F10" s="66"/>
      <c r="G10" s="66"/>
      <c r="H10" s="66"/>
      <c r="I10" s="66"/>
      <c r="J10" s="66"/>
      <c r="K10" s="66"/>
    </row>
    <row r="11" spans="1:11" ht="17.399999999999999" x14ac:dyDescent="0.3">
      <c r="A11" s="66"/>
      <c r="B11" s="74" t="s">
        <v>316</v>
      </c>
      <c r="C11" s="74"/>
      <c r="D11" s="75"/>
      <c r="E11" s="75"/>
      <c r="F11" s="75"/>
      <c r="G11" s="75"/>
      <c r="H11" s="66"/>
      <c r="I11" s="66"/>
      <c r="J11" s="66"/>
      <c r="K11" s="66"/>
    </row>
    <row r="12" spans="1:11" ht="17.399999999999999" x14ac:dyDescent="0.3">
      <c r="A12" s="66"/>
      <c r="B12" s="232" t="str">
        <f>'1- Ex Ante Results'!A19</f>
        <v>CY2024 Q2</v>
      </c>
      <c r="C12" s="76"/>
      <c r="D12" s="75"/>
      <c r="E12" s="75"/>
      <c r="F12" s="75"/>
      <c r="G12" s="75"/>
      <c r="H12" s="66"/>
      <c r="I12" s="66"/>
      <c r="J12" s="66"/>
      <c r="K12" s="66"/>
    </row>
    <row r="13" spans="1:11" s="12" customFormat="1" ht="41.4" x14ac:dyDescent="0.3">
      <c r="A13" s="71"/>
      <c r="B13" s="11" t="s">
        <v>145</v>
      </c>
      <c r="C13" s="5" t="s">
        <v>317</v>
      </c>
      <c r="D13" s="5" t="s">
        <v>318</v>
      </c>
      <c r="E13" s="5" t="s">
        <v>319</v>
      </c>
      <c r="F13" s="5" t="s">
        <v>320</v>
      </c>
      <c r="G13" s="5" t="s">
        <v>321</v>
      </c>
      <c r="H13" s="71"/>
      <c r="I13" s="71"/>
      <c r="J13" s="71"/>
      <c r="K13" s="71"/>
    </row>
    <row r="14" spans="1:11" x14ac:dyDescent="0.3">
      <c r="A14" s="66"/>
      <c r="B14" s="46" t="s">
        <v>161</v>
      </c>
      <c r="C14" s="52">
        <v>27356150.450000003</v>
      </c>
      <c r="D14" s="53">
        <v>6949809.1399999997</v>
      </c>
      <c r="E14" s="53">
        <f>C14+D14</f>
        <v>34305959.590000004</v>
      </c>
      <c r="F14" s="53">
        <v>0</v>
      </c>
      <c r="G14" s="53">
        <f>SUM(E14,F14)</f>
        <v>34305959.590000004</v>
      </c>
      <c r="H14" s="66"/>
      <c r="I14" s="66"/>
      <c r="J14" s="66"/>
      <c r="K14" s="66"/>
    </row>
    <row r="15" spans="1:11" s="12" customFormat="1" x14ac:dyDescent="0.3">
      <c r="A15" s="71"/>
      <c r="B15" s="46" t="s">
        <v>164</v>
      </c>
      <c r="C15" s="52">
        <v>52071860.044945925</v>
      </c>
      <c r="D15" s="53">
        <v>11471615</v>
      </c>
      <c r="E15" s="53">
        <f t="shared" ref="E15:E25" si="0">C15+D15</f>
        <v>63543475.044945925</v>
      </c>
      <c r="F15" s="53">
        <v>0</v>
      </c>
      <c r="G15" s="53">
        <f t="shared" ref="G15:G25" si="1">SUM(E15,F15)</f>
        <v>63543475.044945925</v>
      </c>
      <c r="H15" s="71"/>
      <c r="I15" s="71"/>
      <c r="J15" s="71"/>
      <c r="K15" s="71"/>
    </row>
    <row r="16" spans="1:11" x14ac:dyDescent="0.3">
      <c r="A16" s="66"/>
      <c r="B16" s="46" t="s">
        <v>167</v>
      </c>
      <c r="C16" s="52">
        <v>75691132.849999994</v>
      </c>
      <c r="D16" s="53">
        <v>28659010.5</v>
      </c>
      <c r="E16" s="53">
        <f t="shared" si="0"/>
        <v>104350143.34999999</v>
      </c>
      <c r="F16" s="53">
        <v>0</v>
      </c>
      <c r="G16" s="53">
        <f t="shared" si="1"/>
        <v>104350143.34999999</v>
      </c>
      <c r="H16" s="66"/>
      <c r="I16" s="66"/>
      <c r="J16" s="66"/>
      <c r="K16" s="66"/>
    </row>
    <row r="17" spans="1:11" x14ac:dyDescent="0.3">
      <c r="A17" s="66"/>
      <c r="B17" s="36" t="s">
        <v>177</v>
      </c>
      <c r="C17" s="124">
        <f>SUM(C14:C16)</f>
        <v>155119143.34494591</v>
      </c>
      <c r="D17" s="124">
        <f>SUM(D14:D16)</f>
        <v>47080434.640000001</v>
      </c>
      <c r="E17" s="124">
        <f t="shared" si="0"/>
        <v>202199577.98494589</v>
      </c>
      <c r="F17" s="124">
        <f>SUM(F14:F16)</f>
        <v>0</v>
      </c>
      <c r="G17" s="124">
        <f t="shared" si="1"/>
        <v>202199577.98494589</v>
      </c>
      <c r="H17" s="66"/>
      <c r="I17" s="66"/>
      <c r="J17" s="66"/>
      <c r="K17" s="66"/>
    </row>
    <row r="18" spans="1:11" x14ac:dyDescent="0.3">
      <c r="A18" s="66"/>
      <c r="B18" s="46" t="s">
        <v>178</v>
      </c>
      <c r="C18" s="52">
        <v>106315194.5</v>
      </c>
      <c r="D18" s="53">
        <v>35049987</v>
      </c>
      <c r="E18" s="53">
        <f t="shared" si="0"/>
        <v>141365181.5</v>
      </c>
      <c r="F18" s="53">
        <v>0</v>
      </c>
      <c r="G18" s="53">
        <f t="shared" si="1"/>
        <v>141365181.5</v>
      </c>
      <c r="H18" s="66"/>
      <c r="I18" s="66"/>
      <c r="J18" s="66"/>
      <c r="K18" s="66"/>
    </row>
    <row r="19" spans="1:11" x14ac:dyDescent="0.3">
      <c r="A19" s="66"/>
      <c r="B19" s="46" t="s">
        <v>179</v>
      </c>
      <c r="C19" s="52">
        <v>107354963.67</v>
      </c>
      <c r="D19" s="53">
        <v>33565649.329999998</v>
      </c>
      <c r="E19" s="53">
        <f t="shared" si="0"/>
        <v>140920613</v>
      </c>
      <c r="F19" s="53">
        <v>31329</v>
      </c>
      <c r="G19" s="53">
        <f t="shared" si="1"/>
        <v>140951942</v>
      </c>
      <c r="H19" s="66"/>
      <c r="I19" s="66"/>
      <c r="J19" s="66"/>
      <c r="K19" s="66"/>
    </row>
    <row r="20" spans="1:11" x14ac:dyDescent="0.3">
      <c r="A20" s="66"/>
      <c r="B20" s="46" t="s">
        <v>181</v>
      </c>
      <c r="C20" s="52">
        <v>124096016.16999999</v>
      </c>
      <c r="D20" s="53">
        <v>31563417</v>
      </c>
      <c r="E20" s="53">
        <f t="shared" si="0"/>
        <v>155659433.16999999</v>
      </c>
      <c r="F20" s="53">
        <v>29469183.289999999</v>
      </c>
      <c r="G20" s="125">
        <f t="shared" si="1"/>
        <v>185128616.45999998</v>
      </c>
      <c r="H20" s="66"/>
      <c r="I20" s="66"/>
      <c r="J20" s="66"/>
      <c r="K20" s="66"/>
    </row>
    <row r="21" spans="1:11" x14ac:dyDescent="0.3">
      <c r="A21" s="66"/>
      <c r="B21" s="36" t="s">
        <v>183</v>
      </c>
      <c r="C21" s="124">
        <f>SUM(C18:C20)</f>
        <v>337766174.34000003</v>
      </c>
      <c r="D21" s="124">
        <f>SUM(D18:D20)</f>
        <v>100179053.33</v>
      </c>
      <c r="E21" s="124">
        <f t="shared" si="0"/>
        <v>437945227.67000002</v>
      </c>
      <c r="F21" s="124">
        <f>SUM(F18:F20)</f>
        <v>29500512.289999999</v>
      </c>
      <c r="G21" s="126">
        <f t="shared" si="1"/>
        <v>467445739.96000004</v>
      </c>
      <c r="H21" s="66"/>
      <c r="I21" s="66"/>
      <c r="J21" s="66"/>
      <c r="K21" s="66"/>
    </row>
    <row r="22" spans="1:11" x14ac:dyDescent="0.3">
      <c r="A22" s="66"/>
      <c r="B22" s="46" t="s">
        <v>184</v>
      </c>
      <c r="C22" s="53">
        <v>128288585</v>
      </c>
      <c r="D22" s="53">
        <v>33728435</v>
      </c>
      <c r="E22" s="53">
        <f t="shared" si="0"/>
        <v>162017020</v>
      </c>
      <c r="F22" s="127">
        <v>39150326.559999995</v>
      </c>
      <c r="G22" s="53">
        <f t="shared" si="1"/>
        <v>201167346.56</v>
      </c>
      <c r="H22" s="66"/>
      <c r="I22" s="66"/>
      <c r="J22" s="66"/>
      <c r="K22" s="66"/>
    </row>
    <row r="23" spans="1:11" x14ac:dyDescent="0.3">
      <c r="A23" s="66"/>
      <c r="B23" s="46" t="s">
        <v>185</v>
      </c>
      <c r="C23" s="53">
        <v>108343594</v>
      </c>
      <c r="D23" s="53">
        <v>3670970</v>
      </c>
      <c r="E23" s="53">
        <f t="shared" si="0"/>
        <v>112014564</v>
      </c>
      <c r="F23" s="127">
        <v>87103873</v>
      </c>
      <c r="G23" s="53">
        <f t="shared" si="1"/>
        <v>199118437</v>
      </c>
      <c r="H23" s="66"/>
      <c r="I23" s="66"/>
      <c r="J23" s="66"/>
      <c r="K23" s="66"/>
    </row>
    <row r="24" spans="1:11" x14ac:dyDescent="0.3">
      <c r="A24" s="66"/>
      <c r="B24" s="46" t="s">
        <v>186</v>
      </c>
      <c r="C24" s="53">
        <v>222451927.53999999</v>
      </c>
      <c r="D24" s="53">
        <v>57854489</v>
      </c>
      <c r="E24" s="53">
        <f t="shared" si="0"/>
        <v>280306416.53999996</v>
      </c>
      <c r="F24" s="127">
        <v>159497825.46000001</v>
      </c>
      <c r="G24" s="125">
        <f t="shared" si="1"/>
        <v>439804242</v>
      </c>
      <c r="H24" s="66"/>
      <c r="I24" s="66"/>
      <c r="J24" s="66"/>
      <c r="K24" s="66"/>
    </row>
    <row r="25" spans="1:11" x14ac:dyDescent="0.3">
      <c r="A25" s="66"/>
      <c r="B25" s="36" t="s">
        <v>187</v>
      </c>
      <c r="C25" s="124">
        <f>SUM(C22:C24)</f>
        <v>459084106.53999996</v>
      </c>
      <c r="D25" s="124">
        <f>SUM(D22:D24)</f>
        <v>95253894</v>
      </c>
      <c r="E25" s="124">
        <f t="shared" si="0"/>
        <v>554338000.53999996</v>
      </c>
      <c r="F25" s="128">
        <f>SUM(F22:F24)</f>
        <v>285752025.01999998</v>
      </c>
      <c r="G25" s="124">
        <f t="shared" si="1"/>
        <v>840090025.55999994</v>
      </c>
      <c r="H25" s="66"/>
      <c r="I25" s="66"/>
      <c r="J25" s="66"/>
      <c r="K25" s="66"/>
    </row>
    <row r="26" spans="1:11" s="12" customFormat="1" ht="38.25" customHeight="1" x14ac:dyDescent="0.3">
      <c r="B26" s="11" t="s">
        <v>145</v>
      </c>
      <c r="C26" s="5" t="s">
        <v>322</v>
      </c>
      <c r="D26" s="5" t="s">
        <v>323</v>
      </c>
      <c r="E26" s="19" t="s">
        <v>17</v>
      </c>
      <c r="F26" s="77"/>
      <c r="G26" s="78"/>
      <c r="H26" s="71"/>
      <c r="I26" s="71"/>
      <c r="J26" s="71"/>
      <c r="K26" s="71"/>
    </row>
    <row r="27" spans="1:11" x14ac:dyDescent="0.3">
      <c r="A27" s="303" t="s">
        <v>188</v>
      </c>
      <c r="B27" s="31">
        <v>2018</v>
      </c>
      <c r="C27" s="129">
        <v>352988359</v>
      </c>
      <c r="D27" s="130">
        <v>351334190</v>
      </c>
      <c r="E27" s="131">
        <f>C27/D27</f>
        <v>1.0047082494305493</v>
      </c>
      <c r="F27" s="79"/>
      <c r="G27" s="80"/>
      <c r="H27" s="66"/>
      <c r="I27" s="66"/>
      <c r="J27" s="66"/>
      <c r="K27" s="66"/>
    </row>
    <row r="28" spans="1:11" x14ac:dyDescent="0.3">
      <c r="A28" s="304"/>
      <c r="B28" s="31">
        <v>2019</v>
      </c>
      <c r="C28" s="129">
        <v>351381796</v>
      </c>
      <c r="D28" s="130">
        <v>351334190</v>
      </c>
      <c r="E28" s="131">
        <f>IF(C28=0,"N/A",C28/D28)</f>
        <v>1.0001355006183714</v>
      </c>
      <c r="F28" s="79"/>
      <c r="G28" s="80"/>
      <c r="H28" s="66"/>
      <c r="I28" s="66"/>
      <c r="J28" s="66"/>
      <c r="K28" s="66"/>
    </row>
    <row r="29" spans="1:11" x14ac:dyDescent="0.3">
      <c r="A29" s="304"/>
      <c r="B29" s="31">
        <v>2020</v>
      </c>
      <c r="C29" s="129">
        <v>346480330</v>
      </c>
      <c r="D29" s="130">
        <v>351334190</v>
      </c>
      <c r="E29" s="131">
        <f>IF(C29=0,"N/A",C29/D29)</f>
        <v>0.98618449288980381</v>
      </c>
      <c r="F29" s="79"/>
      <c r="G29" s="80"/>
      <c r="H29" s="66"/>
      <c r="I29" s="66"/>
      <c r="J29" s="66"/>
      <c r="K29" s="66"/>
    </row>
    <row r="30" spans="1:11" x14ac:dyDescent="0.3">
      <c r="A30" s="304"/>
      <c r="B30" s="31">
        <v>2021</v>
      </c>
      <c r="C30" s="129">
        <v>351037751.65463001</v>
      </c>
      <c r="D30" s="130">
        <v>351334190</v>
      </c>
      <c r="E30" s="131">
        <f>IF(C30=0,"N/A",C30/D30)</f>
        <v>0.99915624965116545</v>
      </c>
      <c r="F30" s="79"/>
      <c r="G30" s="80"/>
      <c r="H30" s="66"/>
      <c r="I30" s="66"/>
      <c r="J30" s="66"/>
      <c r="K30" s="66"/>
    </row>
    <row r="31" spans="1:11" x14ac:dyDescent="0.3">
      <c r="A31" s="305"/>
      <c r="B31" s="36" t="s">
        <v>189</v>
      </c>
      <c r="C31" s="132">
        <f>SUM(C27:C30)</f>
        <v>1401888236.6546299</v>
      </c>
      <c r="D31" s="132">
        <f>SUM(D27:D30)</f>
        <v>1405336760</v>
      </c>
      <c r="E31" s="133">
        <f>IF(C31=0,"N/A",C31/D31)</f>
        <v>0.99754612314747249</v>
      </c>
      <c r="F31" s="79"/>
      <c r="G31" s="80"/>
      <c r="H31" s="66"/>
      <c r="I31" s="66"/>
      <c r="J31" s="66"/>
      <c r="K31" s="66"/>
    </row>
    <row r="32" spans="1:11" x14ac:dyDescent="0.3">
      <c r="A32" s="303" t="s">
        <v>190</v>
      </c>
      <c r="B32" s="31">
        <v>2022</v>
      </c>
      <c r="C32" s="129">
        <v>399377042</v>
      </c>
      <c r="D32" s="130">
        <v>427470991</v>
      </c>
      <c r="E32" s="131">
        <f>C32/D32</f>
        <v>0.93427870056333251</v>
      </c>
      <c r="F32" s="80"/>
      <c r="G32" s="80"/>
      <c r="H32" s="66"/>
      <c r="I32" s="66"/>
      <c r="J32" s="66"/>
      <c r="K32" s="66"/>
    </row>
    <row r="33" spans="1:11" x14ac:dyDescent="0.3">
      <c r="A33" s="304"/>
      <c r="B33" s="31">
        <v>2023</v>
      </c>
      <c r="C33" s="129">
        <v>415602522.64617443</v>
      </c>
      <c r="D33" s="130">
        <v>439746496.2964471</v>
      </c>
      <c r="E33" s="131">
        <f>IF(C33=0,"N/A",C33/D33)</f>
        <v>0.94509569978700536</v>
      </c>
      <c r="F33" s="66"/>
      <c r="G33" s="66"/>
      <c r="H33" s="66"/>
      <c r="I33" s="66"/>
      <c r="J33" s="66"/>
      <c r="K33" s="66"/>
    </row>
    <row r="34" spans="1:11" x14ac:dyDescent="0.3">
      <c r="A34" s="304"/>
      <c r="B34" s="31">
        <v>2024</v>
      </c>
      <c r="C34" s="129">
        <f>'2- Costs'!$C$32</f>
        <v>169892343</v>
      </c>
      <c r="D34" s="130">
        <f>'2- Costs'!$D$32</f>
        <v>437772939</v>
      </c>
      <c r="E34" s="131">
        <f>IF(C34=0,"N/A",C34/D34)</f>
        <v>0.38808324559321378</v>
      </c>
      <c r="F34" s="66"/>
      <c r="G34" s="66"/>
      <c r="H34" s="66"/>
      <c r="I34" s="66"/>
      <c r="J34" s="66"/>
      <c r="K34" s="66"/>
    </row>
    <row r="35" spans="1:11" x14ac:dyDescent="0.3">
      <c r="A35" s="304"/>
      <c r="B35" s="31">
        <v>2025</v>
      </c>
      <c r="C35" s="129">
        <v>0</v>
      </c>
      <c r="D35" s="130">
        <v>423304298.49758613</v>
      </c>
      <c r="E35" s="131" t="str">
        <f>IF(C35=0,"N/A",C35/D35)</f>
        <v>N/A</v>
      </c>
      <c r="F35" s="66"/>
      <c r="G35" s="66"/>
      <c r="H35" s="66"/>
      <c r="I35" s="66"/>
      <c r="J35" s="66"/>
      <c r="K35" s="66"/>
    </row>
    <row r="36" spans="1:11" x14ac:dyDescent="0.3">
      <c r="A36" s="305"/>
      <c r="B36" s="36" t="s">
        <v>193</v>
      </c>
      <c r="C36" s="132">
        <f>SUM(C32:C35)</f>
        <v>984871907.64617443</v>
      </c>
      <c r="D36" s="132">
        <f>SUM(D32:D35)</f>
        <v>1728294724.7940331</v>
      </c>
      <c r="E36" s="133">
        <f>IF(C36=0,"N/A",C36/D36)</f>
        <v>0.56985182765256959</v>
      </c>
      <c r="F36" s="66"/>
      <c r="G36" s="66"/>
      <c r="H36" s="66"/>
      <c r="I36" s="66"/>
      <c r="J36" s="66"/>
      <c r="K36" s="66"/>
    </row>
    <row r="37" spans="1:11" x14ac:dyDescent="0.3">
      <c r="A37" s="71"/>
      <c r="B37" s="71"/>
      <c r="C37" s="66"/>
      <c r="D37" s="66"/>
      <c r="E37" s="66"/>
      <c r="F37" s="66"/>
      <c r="G37" s="66"/>
      <c r="H37" s="66"/>
      <c r="I37" s="66"/>
      <c r="J37" s="66"/>
      <c r="K37" s="66"/>
    </row>
    <row r="38" spans="1:11" x14ac:dyDescent="0.3">
      <c r="A38" s="66"/>
      <c r="B38" s="71"/>
      <c r="C38" s="66"/>
      <c r="D38" s="66"/>
      <c r="E38" s="66"/>
      <c r="F38" s="66"/>
      <c r="G38" s="66"/>
      <c r="H38" s="66"/>
      <c r="I38" s="66"/>
      <c r="J38" s="66"/>
      <c r="K38" s="66"/>
    </row>
    <row r="39" spans="1:11" x14ac:dyDescent="0.3">
      <c r="A39" s="66"/>
      <c r="B39" s="71"/>
      <c r="C39" s="66"/>
      <c r="D39" s="66"/>
      <c r="E39" s="66"/>
      <c r="F39" s="66"/>
      <c r="G39" s="66"/>
      <c r="H39" s="66"/>
      <c r="I39" s="66"/>
      <c r="J39" s="66"/>
      <c r="K39" s="66"/>
    </row>
    <row r="40" spans="1:11" x14ac:dyDescent="0.3">
      <c r="A40" s="66"/>
      <c r="B40" s="71"/>
      <c r="C40" s="66"/>
      <c r="D40" s="66"/>
      <c r="E40" s="66"/>
      <c r="F40" s="66"/>
      <c r="G40" s="66"/>
      <c r="H40" s="66"/>
      <c r="I40" s="66"/>
      <c r="J40" s="66"/>
      <c r="K40" s="66"/>
    </row>
    <row r="41" spans="1:11" x14ac:dyDescent="0.3">
      <c r="A41" s="66"/>
      <c r="B41" s="71"/>
      <c r="C41" s="66"/>
      <c r="D41" s="66"/>
      <c r="E41" s="66"/>
      <c r="F41" s="66"/>
      <c r="G41" s="66"/>
      <c r="H41" s="66"/>
      <c r="I41" s="66"/>
      <c r="J41" s="66"/>
      <c r="K41" s="66"/>
    </row>
    <row r="42" spans="1:11" x14ac:dyDescent="0.3">
      <c r="A42" s="66"/>
      <c r="B42" s="71"/>
      <c r="C42" s="66"/>
      <c r="D42" s="66"/>
      <c r="E42" s="66"/>
      <c r="F42" s="66"/>
      <c r="G42" s="66"/>
      <c r="H42" s="66"/>
      <c r="I42" s="66"/>
      <c r="J42" s="66"/>
      <c r="K42" s="66"/>
    </row>
  </sheetData>
  <mergeCells count="3">
    <mergeCell ref="B5:G9"/>
    <mergeCell ref="A32:A36"/>
    <mergeCell ref="A27:A31"/>
  </mergeCells>
  <printOptions horizontalCentered="1"/>
  <pageMargins left="1" right="1" top="1.25" bottom="1" header="0.5" footer="0.5"/>
  <pageSetup scale="10" orientation="portrait" r:id="rId1"/>
  <headerFooter scaleWithDoc="0">
    <oddHeader>&amp;R&amp;"Arial,Bold"ICC Docket No. 17-0312
Statewide Quarterly Report ComEd 2019 Q4 
Tab: &amp;A</oddHeader>
  </headerFooter>
  <ignoredErrors>
    <ignoredError sqref="E17:E2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6036ecd-8164-441f-a01a-9502deb9fecc">
      <UserInfo>
        <DisplayName>Borggren, Erica J:(ComEd)</DisplayName>
        <AccountId>84</AccountId>
        <AccountType/>
      </UserInfo>
    </SharedWithUsers>
    <Note xmlns="34179d51-dc0c-413e-aa1e-3fce419c532c" xsi:nil="true"/>
    <SubmissionDeadline xmlns="34179d51-dc0c-413e-aa1e-3fce419c532c" xsi:nil="true"/>
    <GroupBy xmlns="34179d51-dc0c-413e-aa1e-3fce419c532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D7298ED617D146A3AF46250AE2AF4E" ma:contentTypeVersion="14" ma:contentTypeDescription="Create a new document." ma:contentTypeScope="" ma:versionID="e1409b309f0e72c7370bea2d232ee587">
  <xsd:schema xmlns:xsd="http://www.w3.org/2001/XMLSchema" xmlns:xs="http://www.w3.org/2001/XMLSchema" xmlns:p="http://schemas.microsoft.com/office/2006/metadata/properties" xmlns:ns2="34179d51-dc0c-413e-aa1e-3fce419c532c" xmlns:ns3="36036ecd-8164-441f-a01a-9502deb9fecc" targetNamespace="http://schemas.microsoft.com/office/2006/metadata/properties" ma:root="true" ma:fieldsID="25a67ee73ca2392e58fafd65512d8f2e" ns2:_="" ns3:_="">
    <xsd:import namespace="34179d51-dc0c-413e-aa1e-3fce419c532c"/>
    <xsd:import namespace="36036ecd-8164-441f-a01a-9502deb9fe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SubmissionDeadline" minOccurs="0"/>
                <xsd:element ref="ns2:MediaServiceObjectDetectorVersions" minOccurs="0"/>
                <xsd:element ref="ns2:Note" minOccurs="0"/>
                <xsd:element ref="ns2:GroupBy" minOccurs="0"/>
                <xsd:element ref="ns2:MediaServiceSearchPropertie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179d51-dc0c-413e-aa1e-3fce419c5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SubmissionDeadline" ma:index="14" nillable="true" ma:displayName="Submission Deadline" ma:description="ICC Filing deadline" ma:format="DateOnly" ma:internalName="SubmissionDeadline">
      <xsd:simpleType>
        <xsd:restriction base="dms:DateTim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Note" ma:index="16" nillable="true" ma:displayName="Note" ma:format="Dropdown" ma:internalName="Note">
      <xsd:simpleType>
        <xsd:restriction base="dms:Text">
          <xsd:maxLength value="255"/>
        </xsd:restriction>
      </xsd:simpleType>
    </xsd:element>
    <xsd:element name="GroupBy" ma:index="17" nillable="true" ma:displayName="Group By" ma:format="Dropdown" ma:internalName="GroupBy">
      <xsd:simpleType>
        <xsd:restriction base="dms:Text">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036ecd-8164-441f-a01a-9502deb9fec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CB91CF-5463-483A-B537-8D7B40E18DFE}">
  <ds:schemaRefs>
    <ds:schemaRef ds:uri="http://schemas.microsoft.com/sharepoint/v3/contenttype/forms"/>
  </ds:schemaRefs>
</ds:datastoreItem>
</file>

<file path=customXml/itemProps2.xml><?xml version="1.0" encoding="utf-8"?>
<ds:datastoreItem xmlns:ds="http://schemas.openxmlformats.org/officeDocument/2006/customXml" ds:itemID="{7D265358-A200-4181-99F2-5390B7D0CBB5}">
  <ds:schemaRefs>
    <ds:schemaRef ds:uri="34179d51-dc0c-413e-aa1e-3fce419c532c"/>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 ds:uri="http://schemas.microsoft.com/office/infopath/2007/PartnerControls"/>
    <ds:schemaRef ds:uri="36036ecd-8164-441f-a01a-9502deb9fecc"/>
    <ds:schemaRef ds:uri="http://purl.org/dc/terms/"/>
  </ds:schemaRefs>
</ds:datastoreItem>
</file>

<file path=customXml/itemProps3.xml><?xml version="1.0" encoding="utf-8"?>
<ds:datastoreItem xmlns:ds="http://schemas.openxmlformats.org/officeDocument/2006/customXml" ds:itemID="{F529F8FE-F440-4691-AC28-F26C094DC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179d51-dc0c-413e-aa1e-3fce419c532c"/>
    <ds:schemaRef ds:uri="36036ecd-8164-441f-a01a-9502deb9f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Ex Ante Results</vt:lpstr>
      <vt:lpstr>2- Costs</vt:lpstr>
      <vt:lpstr>3- Energy</vt:lpstr>
      <vt:lpstr>4- Other</vt:lpstr>
      <vt:lpstr>5- CPAS</vt:lpstr>
      <vt:lpstr>6- Historical Costs</vt:lpstr>
      <vt:lpstr>'1- Ex Ante Results'!Print_Area</vt:lpstr>
      <vt:lpstr>'6- Historical Costs'!Print_Area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Kapoor, Shikha:(ComEd)</dc:creator>
  <cp:keywords/>
  <dc:description/>
  <cp:lastModifiedBy>Lee, Abbey Rose:(ComEd)</cp:lastModifiedBy>
  <cp:revision/>
  <dcterms:created xsi:type="dcterms:W3CDTF">2020-03-11T14:31:19Z</dcterms:created>
  <dcterms:modified xsi:type="dcterms:W3CDTF">2024-08-12T14:26:10Z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0x01010068D7298ED617D146A3AF46250AE2AF4E</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c968b3d1-e05f-4796-9c23-acaf26d588cb_Enabled">
    <vt:lpwstr>true</vt:lpwstr>
  </property>
  <property fmtid="{D5CDD505-2E9C-101B-9397-08002B2CF9AE}" pid="6" name="MSIP_Label_c968b3d1-e05f-4796-9c23-acaf26d588cb_SetDate">
    <vt:lpwstr>2022-01-28T15:50:21Z</vt:lpwstr>
  </property>
  <property fmtid="{D5CDD505-2E9C-101B-9397-08002B2CF9AE}" pid="7" name="MSIP_Label_c968b3d1-e05f-4796-9c23-acaf26d588cb_Method">
    <vt:lpwstr>Standard</vt:lpwstr>
  </property>
  <property fmtid="{D5CDD505-2E9C-101B-9397-08002B2CF9AE}" pid="8" name="MSIP_Label_c968b3d1-e05f-4796-9c23-acaf26d588cb_Name">
    <vt:lpwstr>Company Confidential Information</vt:lpwstr>
  </property>
  <property fmtid="{D5CDD505-2E9C-101B-9397-08002B2CF9AE}" pid="9" name="MSIP_Label_c968b3d1-e05f-4796-9c23-acaf26d588cb_SiteId">
    <vt:lpwstr>600d01fc-055f-49c6-868f-3ecfcc791773</vt:lpwstr>
  </property>
  <property fmtid="{D5CDD505-2E9C-101B-9397-08002B2CF9AE}" pid="10" name="MSIP_Label_c968b3d1-e05f-4796-9c23-acaf26d588cb_ActionId">
    <vt:lpwstr>2c1ec06e-b615-464f-be7b-4ddee875247d</vt:lpwstr>
  </property>
  <property fmtid="{D5CDD505-2E9C-101B-9397-08002B2CF9AE}" pid="11" name="MSIP_Label_c968b3d1-e05f-4796-9c23-acaf26d588cb_ContentBits">
    <vt:lpwstr>0</vt:lpwstr>
  </property>
  <property fmtid="{D5CDD505-2E9C-101B-9397-08002B2CF9AE}" pid="12" name="Order">
    <vt:r8>7700</vt:r8>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MediaServiceImageTags">
    <vt:lpwstr/>
  </property>
</Properties>
</file>