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460" activeTab="1"/>
  </bookViews>
  <sheets>
    <sheet name="8-103" sheetId="1" r:id="rId1"/>
    <sheet name="8-104" sheetId="2" r:id="rId2"/>
  </sheets>
  <definedNames>
    <definedName name="_xlnm.Print_Area" localSheetId="0">'8-103'!$A$1:$O$33</definedName>
    <definedName name="program_type">#REF!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J32" i="2"/>
  <c r="K31" i="2"/>
  <c r="G31" i="2"/>
  <c r="E31" i="2"/>
  <c r="G27" i="2"/>
  <c r="G32" i="2"/>
  <c r="D32" i="1"/>
  <c r="M32" i="1"/>
  <c r="K31" i="1"/>
  <c r="I31" i="1"/>
  <c r="G31" i="1"/>
  <c r="E31" i="1"/>
  <c r="K27" i="1"/>
  <c r="K32" i="1"/>
  <c r="G27" i="1"/>
  <c r="G32" i="1"/>
  <c r="C5" i="2"/>
  <c r="E5" i="2"/>
  <c r="E6" i="2"/>
  <c r="F5" i="2"/>
  <c r="F6" i="2"/>
  <c r="G10" i="2"/>
  <c r="C14" i="2"/>
  <c r="D14" i="2"/>
  <c r="E14" i="2"/>
  <c r="F14" i="2"/>
  <c r="G16" i="2"/>
  <c r="E23" i="2"/>
  <c r="F20" i="2"/>
  <c r="G23" i="2"/>
  <c r="H21" i="2"/>
  <c r="H20" i="2"/>
  <c r="F7" i="2"/>
  <c r="F11" i="2"/>
  <c r="F12" i="2"/>
  <c r="F13" i="2"/>
  <c r="F15" i="2"/>
  <c r="C6" i="2"/>
  <c r="D6" i="2"/>
  <c r="G6" i="2"/>
  <c r="C8" i="2"/>
  <c r="D8" i="2"/>
  <c r="G8" i="2"/>
  <c r="C9" i="2"/>
  <c r="D9" i="2"/>
  <c r="C7" i="2"/>
  <c r="D7" i="2"/>
  <c r="G14" i="2"/>
  <c r="G5" i="2"/>
  <c r="H22" i="2"/>
  <c r="H23" i="2"/>
  <c r="G9" i="2"/>
  <c r="E7" i="2"/>
  <c r="F22" i="2"/>
  <c r="F21" i="2"/>
  <c r="K22" i="1"/>
  <c r="I23" i="1"/>
  <c r="J20" i="1"/>
  <c r="G23" i="1"/>
  <c r="H20" i="1"/>
  <c r="E23" i="1"/>
  <c r="F20" i="1"/>
  <c r="I27" i="1"/>
  <c r="I32" i="1"/>
  <c r="C11" i="2"/>
  <c r="D11" i="2"/>
  <c r="F23" i="2"/>
  <c r="G7" i="2"/>
  <c r="E11" i="2"/>
  <c r="E12" i="2"/>
  <c r="C12" i="2"/>
  <c r="C13" i="2"/>
  <c r="J22" i="1"/>
  <c r="J21" i="1"/>
  <c r="H22" i="1"/>
  <c r="H21" i="1"/>
  <c r="F21" i="1"/>
  <c r="F22" i="1"/>
  <c r="C14" i="1"/>
  <c r="D14" i="1"/>
  <c r="G10" i="1"/>
  <c r="J23" i="1"/>
  <c r="G11" i="2"/>
  <c r="G12" i="2"/>
  <c r="E13" i="2"/>
  <c r="E15" i="2"/>
  <c r="C20" i="2"/>
  <c r="C22" i="2"/>
  <c r="C15" i="2"/>
  <c r="D13" i="2"/>
  <c r="H23" i="1"/>
  <c r="F23" i="1"/>
  <c r="E14" i="1"/>
  <c r="F14" i="1"/>
  <c r="E5" i="1"/>
  <c r="E6" i="1"/>
  <c r="F5" i="1"/>
  <c r="F6" i="1"/>
  <c r="C5" i="1"/>
  <c r="G13" i="2"/>
  <c r="C8" i="1"/>
  <c r="C9" i="1"/>
  <c r="D15" i="2"/>
  <c r="G15" i="2"/>
  <c r="C23" i="2"/>
  <c r="C6" i="1"/>
  <c r="D6" i="1"/>
  <c r="G16" i="1"/>
  <c r="F7" i="1"/>
  <c r="D22" i="2"/>
  <c r="C28" i="2"/>
  <c r="K28" i="2"/>
  <c r="L28" i="2"/>
  <c r="C29" i="2"/>
  <c r="K29" i="2"/>
  <c r="L29" i="2"/>
  <c r="C30" i="2"/>
  <c r="K30" i="2"/>
  <c r="L30" i="2"/>
  <c r="C27" i="2"/>
  <c r="D8" i="1"/>
  <c r="G8" i="1"/>
  <c r="G6" i="1"/>
  <c r="D20" i="2"/>
  <c r="D9" i="1"/>
  <c r="G9" i="1"/>
  <c r="F11" i="1"/>
  <c r="F12" i="1"/>
  <c r="G14" i="1"/>
  <c r="G5" i="1"/>
  <c r="E7" i="1"/>
  <c r="C7" i="1"/>
  <c r="C32" i="2"/>
  <c r="K32" i="2"/>
  <c r="L32" i="2"/>
  <c r="K27" i="2"/>
  <c r="L27" i="2"/>
  <c r="D23" i="2"/>
  <c r="E27" i="2"/>
  <c r="E32" i="2"/>
  <c r="C11" i="1"/>
  <c r="D11" i="1"/>
  <c r="D7" i="1"/>
  <c r="G7" i="1"/>
  <c r="F13" i="1"/>
  <c r="F15" i="1"/>
  <c r="E11" i="1"/>
  <c r="E12" i="1"/>
  <c r="C12" i="1"/>
  <c r="C30" i="1"/>
  <c r="N30" i="1"/>
  <c r="O30" i="1"/>
  <c r="C31" i="1"/>
  <c r="N31" i="1"/>
  <c r="C28" i="1"/>
  <c r="N28" i="1"/>
  <c r="O28" i="1"/>
  <c r="C27" i="1"/>
  <c r="C29" i="1"/>
  <c r="N29" i="1"/>
  <c r="O29" i="1"/>
  <c r="C20" i="1"/>
  <c r="C22" i="1"/>
  <c r="C13" i="1"/>
  <c r="E13" i="1"/>
  <c r="E15" i="1"/>
  <c r="G12" i="1"/>
  <c r="G11" i="1"/>
  <c r="C32" i="1"/>
  <c r="N32" i="1"/>
  <c r="O32" i="1"/>
  <c r="N27" i="1"/>
  <c r="O27" i="1"/>
  <c r="C23" i="1"/>
  <c r="K21" i="1"/>
  <c r="D13" i="1"/>
  <c r="G13" i="1"/>
  <c r="C15" i="1"/>
  <c r="D15" i="1"/>
  <c r="G15" i="1"/>
  <c r="K20" i="1"/>
  <c r="D22" i="1"/>
  <c r="D20" i="1"/>
  <c r="D23" i="1"/>
  <c r="E27" i="1"/>
  <c r="E32" i="1"/>
  <c r="K23" i="1"/>
  <c r="L22" i="1"/>
  <c r="L21" i="1"/>
  <c r="L20" i="1"/>
  <c r="L23" i="1"/>
</calcChain>
</file>

<file path=xl/sharedStrings.xml><?xml version="1.0" encoding="utf-8"?>
<sst xmlns="http://schemas.openxmlformats.org/spreadsheetml/2006/main" count="99" uniqueCount="43">
  <si>
    <t>EPY11/GPY8</t>
  </si>
  <si>
    <t>EPY12/GPY9</t>
  </si>
  <si>
    <t>Total</t>
  </si>
  <si>
    <t>EPY13/GPY10</t>
  </si>
  <si>
    <t>EM&amp;V Implementation</t>
  </si>
  <si>
    <t>Budget Cap</t>
  </si>
  <si>
    <t>Research &amp; Development (Emerging Technologies)</t>
  </si>
  <si>
    <t>Utility Allocation @</t>
  </si>
  <si>
    <t>DCEO Allocation @</t>
  </si>
  <si>
    <t>Total Portfolio Costs</t>
  </si>
  <si>
    <t>Portfolio Marketing &amp; Education</t>
  </si>
  <si>
    <t>Portfolio Adminstration (Including Planning)</t>
  </si>
  <si>
    <t>Available Program Budget</t>
  </si>
  <si>
    <t>Studies (ie Potential Studies) (External costs)</t>
  </si>
  <si>
    <t>OBF - Program Management &amp; EM&amp;V (incl in Admin above)</t>
  </si>
  <si>
    <t>Est $</t>
  </si>
  <si>
    <t>% of Total</t>
  </si>
  <si>
    <t>Delta</t>
  </si>
  <si>
    <t>Ameren Illinois 8-103</t>
  </si>
  <si>
    <t>PY10</t>
  </si>
  <si>
    <t>AIC Subtotal</t>
  </si>
  <si>
    <t>AIC w/DCEO Subtotal</t>
  </si>
  <si>
    <t>% of Utility Budget</t>
  </si>
  <si>
    <t>Residential Programs</t>
  </si>
  <si>
    <t>Business Program</t>
  </si>
  <si>
    <t>Spend by Rate at 2% Rate Cap</t>
  </si>
  <si>
    <t>DS1 Residential</t>
  </si>
  <si>
    <t>DS2 Business less than 150 Kw</t>
  </si>
  <si>
    <t>DS3 Business 150 Kw - 1,000 Kw</t>
  </si>
  <si>
    <t>DS4 Business great than 1,000 Kw</t>
  </si>
  <si>
    <t>---- Income Qualified</t>
  </si>
  <si>
    <t>8-103 Electric</t>
  </si>
  <si>
    <t>Ameren Illinois 8-104</t>
  </si>
  <si>
    <t>8-104 Gas</t>
  </si>
  <si>
    <t>GDS1 Residential</t>
  </si>
  <si>
    <t>GDS2 Business AVD less than 200 therms</t>
  </si>
  <si>
    <t>GDS3 Business AVD between 200 and  1,000 therms</t>
  </si>
  <si>
    <t>GDS4 Business AVD greater than 1,000 therms</t>
  </si>
  <si>
    <t>PY7 Actual</t>
  </si>
  <si>
    <t>Difference</t>
  </si>
  <si>
    <t>% Difference</t>
  </si>
  <si>
    <t>% difference</t>
  </si>
  <si>
    <t>DS5 Lighting Included in DS2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</si>
</sst>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2">
    <xf numFmtId="0" fontId="0" fillId="0" borderId="0" xfId="0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6" fontId="0" fillId="2" borderId="1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2" xfId="0" applyBorder="1" applyAlignment="1"/>
    <xf numFmtId="9" fontId="0" fillId="2" borderId="1" xfId="0" applyNumberFormat="1" applyFill="1" applyBorder="1" applyAlignment="1"/>
    <xf numFmtId="0" fontId="0" fillId="0" borderId="13" xfId="0" applyBorder="1"/>
    <xf numFmtId="0" fontId="0" fillId="0" borderId="15" xfId="0" applyBorder="1"/>
    <xf numFmtId="0" fontId="0" fillId="0" borderId="12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0" fontId="0" fillId="0" borderId="0" xfId="0" applyBorder="1"/>
    <xf numFmtId="0" fontId="0" fillId="3" borderId="18" xfId="0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9" fontId="0" fillId="0" borderId="1" xfId="2" applyFont="1" applyBorder="1"/>
    <xf numFmtId="10" fontId="0" fillId="0" borderId="1" xfId="2" applyNumberFormat="1" applyFont="1" applyBorder="1"/>
    <xf numFmtId="9" fontId="0" fillId="0" borderId="1" xfId="2" applyNumberFormat="1" applyFont="1" applyBorder="1"/>
    <xf numFmtId="0" fontId="0" fillId="0" borderId="24" xfId="0" applyBorder="1"/>
    <xf numFmtId="0" fontId="0" fillId="2" borderId="3" xfId="0" applyFill="1" applyBorder="1"/>
    <xf numFmtId="49" fontId="0" fillId="2" borderId="2" xfId="0" applyNumberFormat="1" applyFill="1" applyBorder="1"/>
    <xf numFmtId="5" fontId="0" fillId="0" borderId="0" xfId="1" applyNumberFormat="1" applyFont="1"/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2" borderId="9" xfId="0" applyFill="1" applyBorder="1"/>
    <xf numFmtId="166" fontId="0" fillId="0" borderId="1" xfId="1" applyNumberFormat="1" applyFont="1" applyBorder="1"/>
    <xf numFmtId="166" fontId="0" fillId="0" borderId="1" xfId="0" applyNumberFormat="1" applyBorder="1"/>
    <xf numFmtId="0" fontId="0" fillId="2" borderId="1" xfId="0" applyFill="1" applyBorder="1"/>
    <xf numFmtId="0" fontId="0" fillId="4" borderId="10" xfId="0" applyFill="1" applyBorder="1"/>
    <xf numFmtId="9" fontId="0" fillId="4" borderId="3" xfId="2" applyNumberFormat="1" applyFont="1" applyFill="1" applyBorder="1" applyAlignment="1">
      <alignment horizontal="right"/>
    </xf>
    <xf numFmtId="0" fontId="1" fillId="4" borderId="10" xfId="0" applyFont="1" applyFill="1" applyBorder="1"/>
    <xf numFmtId="165" fontId="0" fillId="4" borderId="3" xfId="2" applyNumberFormat="1" applyFont="1" applyFill="1" applyBorder="1" applyAlignment="1">
      <alignment horizontal="right"/>
    </xf>
    <xf numFmtId="0" fontId="1" fillId="4" borderId="0" xfId="0" applyFont="1" applyFill="1"/>
    <xf numFmtId="0" fontId="0" fillId="4" borderId="0" xfId="0" applyFill="1"/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5" fontId="0" fillId="0" borderId="2" xfId="1" applyNumberFormat="1" applyFont="1" applyBorder="1" applyAlignment="1">
      <alignment horizontal="center"/>
    </xf>
    <xf numFmtId="5" fontId="0" fillId="0" borderId="3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5" xfId="0" applyFont="1" applyBorder="1" applyAlignment="1"/>
    <xf numFmtId="0" fontId="4" fillId="0" borderId="26" xfId="0" applyFont="1" applyBorder="1" applyAlignment="1"/>
    <xf numFmtId="0" fontId="0" fillId="2" borderId="1" xfId="0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130969</xdr:colOff>
      <xdr:row>0</xdr:row>
      <xdr:rowOff>35720</xdr:rowOff>
    </xdr:from>
    <xdr:ext cx="1697862" cy="561949"/>
    <xdr:sp macro="" textlink="">
      <xdr:nvSpPr>
        <xdr:cNvPr id="3" name="Rectangle 2"/>
        <xdr:cNvSpPr/>
      </xdr:nvSpPr>
      <xdr:spPr>
        <a:xfrm>
          <a:off x="130969" y="35720"/>
          <a:ext cx="1697862" cy="561949"/>
        </a:xfrm>
        <a:prstGeom prst="rect">
          <a:avLst/>
        </a:prstGeom>
        <a:noFill/>
        <a:effectLst>
          <a:glow rad="965200">
            <a:schemeClr val="accent1">
              <a:alpha val="40000"/>
            </a:schemeClr>
          </a:glow>
          <a:reflection blurRad="800100" stA="43000" endPos="65000" dist="431800" dir="5400000" sy="-100000" algn="bl" rotWithShape="0"/>
          <a:softEdge rad="355600"/>
        </a:effectLst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000" b="1" cap="none" spc="0" baseline="0">
              <a:ln w="19050">
                <a:solidFill>
                  <a:schemeClr val="tx1"/>
                </a:solidFill>
                <a:prstDash val="solid"/>
              </a:ln>
              <a:solidFill>
                <a:schemeClr val="bg1">
                  <a:lumMod val="85000"/>
                </a:schemeClr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</a:rPr>
            <a:t>DRAFT</a:t>
          </a:r>
        </a:p>
      </xdr:txBody>
    </xdr:sp>
    <xdr:clientData/>
  </xdr:oneCellAnchor>
  <xdr:twoCellAnchor editAs="oneCell">
    <xdr:from>
      <xdr:col>12</xdr:col>
      <xdr:colOff>63500</xdr:colOff>
      <xdr:row>9</xdr:row>
      <xdr:rowOff>142875</xdr:rowOff>
    </xdr:from>
    <xdr:to>
      <xdr:col>14</xdr:col>
      <xdr:colOff>476250</xdr:colOff>
      <xdr:row>15</xdr:row>
      <xdr:rowOff>137795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0" y="1968500"/>
          <a:ext cx="2222500" cy="1137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174625</xdr:colOff>
      <xdr:row>10</xdr:row>
      <xdr:rowOff>15875</xdr:rowOff>
    </xdr:from>
    <xdr:to>
      <xdr:col>11</xdr:col>
      <xdr:colOff>619125</xdr:colOff>
      <xdr:row>16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3375" y="1857375"/>
          <a:ext cx="2222500" cy="1137920"/>
        </a:xfrm>
        <a:prstGeom prst="rect">
          <a:avLst/>
        </a:prstGeom>
      </xdr:spPr>
    </xdr:pic>
    <xdr:clientData/>
  </xdr:twoCellAnchor>
  <xdr:oneCellAnchor>
    <xdr:from>
      <xdr:col>0</xdr:col>
      <xdr:colOff>173861</xdr:colOff>
      <xdr:row>0</xdr:row>
      <xdr:rowOff>9526</xdr:rowOff>
    </xdr:from>
    <xdr:ext cx="1359663" cy="561949"/>
    <xdr:sp macro="" textlink="">
      <xdr:nvSpPr>
        <xdr:cNvPr id="5" name="Rectangle 4"/>
        <xdr:cNvSpPr/>
      </xdr:nvSpPr>
      <xdr:spPr>
        <a:xfrm>
          <a:off x="173861" y="9526"/>
          <a:ext cx="1359663" cy="561949"/>
        </a:xfrm>
        <a:prstGeom prst="rect">
          <a:avLst/>
        </a:prstGeom>
        <a:noFill/>
        <a:effectLst>
          <a:glow rad="965200">
            <a:schemeClr val="accent1">
              <a:alpha val="40000"/>
            </a:schemeClr>
          </a:glow>
          <a:reflection blurRad="800100" stA="43000" endPos="65000" dist="431800" dir="5400000" sy="-100000" algn="bl" rotWithShape="0"/>
          <a:softEdge rad="355600"/>
        </a:effectLst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000" b="1" cap="none" spc="0" baseline="0">
              <a:ln w="19050">
                <a:solidFill>
                  <a:schemeClr val="tx1"/>
                </a:solidFill>
                <a:prstDash val="solid"/>
              </a:ln>
              <a:solidFill>
                <a:schemeClr val="bg1">
                  <a:lumMod val="85000"/>
                </a:schemeClr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</a:rPr>
            <a:t>DRAFT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80" zoomScaleNormal="80" workbookViewId="0">
      <selection activeCell="A6" sqref="A6:B6"/>
    </sheetView>
  </sheetViews>
  <sheetFormatPr defaultRowHeight="14.4" x14ac:dyDescent="0.3"/>
  <cols>
    <col min="1" max="1" width="38.33203125" customWidth="1"/>
    <col min="2" max="2" width="14.33203125" customWidth="1"/>
    <col min="3" max="3" width="18.88671875" customWidth="1"/>
    <col min="4" max="4" width="18.5546875" customWidth="1"/>
    <col min="5" max="6" width="14.109375" hidden="1" customWidth="1"/>
    <col min="7" max="7" width="14.5546875" hidden="1" customWidth="1"/>
    <col min="8" max="12" width="14.109375" hidden="1" customWidth="1"/>
    <col min="13" max="13" width="14.109375" customWidth="1"/>
    <col min="14" max="14" width="13" bestFit="1" customWidth="1"/>
    <col min="15" max="15" width="13.5546875" bestFit="1" customWidth="1"/>
  </cols>
  <sheetData>
    <row r="1" spans="1:28" ht="23.25" x14ac:dyDescent="0.35">
      <c r="A1" s="62" t="s">
        <v>31</v>
      </c>
      <c r="B1" s="63"/>
      <c r="C1" s="63"/>
      <c r="D1" s="64"/>
      <c r="E1" s="3"/>
      <c r="F1" s="3"/>
      <c r="G1" s="5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" x14ac:dyDescent="0.25">
      <c r="A2" s="4"/>
      <c r="B2" s="4"/>
      <c r="C2" s="4"/>
      <c r="D2" s="4"/>
      <c r="E2" s="4"/>
      <c r="F2" s="4"/>
      <c r="G2" s="6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" x14ac:dyDescent="0.25">
      <c r="A3" s="51" t="s">
        <v>18</v>
      </c>
      <c r="B3" s="51"/>
      <c r="C3" s="51"/>
      <c r="D3" s="51"/>
      <c r="E3" s="51"/>
      <c r="F3" s="51"/>
      <c r="G3" s="5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" x14ac:dyDescent="0.25">
      <c r="A4" s="12" t="s">
        <v>5</v>
      </c>
      <c r="B4" s="11">
        <v>57000000</v>
      </c>
      <c r="C4" s="13" t="s">
        <v>19</v>
      </c>
      <c r="D4" s="13" t="s">
        <v>22</v>
      </c>
      <c r="E4" s="13" t="s">
        <v>1</v>
      </c>
      <c r="F4" s="13" t="s">
        <v>3</v>
      </c>
      <c r="G4" s="13" t="s">
        <v>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5" x14ac:dyDescent="0.25">
      <c r="A5" s="14" t="s">
        <v>7</v>
      </c>
      <c r="B5" s="15">
        <v>0.75</v>
      </c>
      <c r="C5" s="2">
        <f>+$B$4*$B$5</f>
        <v>42750000</v>
      </c>
      <c r="D5" s="2"/>
      <c r="E5" s="2">
        <f t="shared" ref="E5:F5" si="0">+$B$4*$B$5</f>
        <v>42750000</v>
      </c>
      <c r="F5" s="2">
        <f t="shared" si="0"/>
        <v>42750000</v>
      </c>
      <c r="G5" s="2">
        <f>SUM(C5:F5)</f>
        <v>128250000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5" x14ac:dyDescent="0.25">
      <c r="A6" s="52" t="s">
        <v>6</v>
      </c>
      <c r="B6" s="53"/>
      <c r="C6" s="1">
        <f>+C5*0.03</f>
        <v>1282500</v>
      </c>
      <c r="D6" s="30">
        <f>+C6/C5</f>
        <v>0.03</v>
      </c>
      <c r="E6" s="1">
        <f t="shared" ref="E6:F6" si="1">+E5*0.02</f>
        <v>855000</v>
      </c>
      <c r="F6" s="1">
        <f t="shared" si="1"/>
        <v>855000</v>
      </c>
      <c r="G6" s="2">
        <f t="shared" ref="G6:G16" si="2">SUM(C6:F6)</f>
        <v>2992500.0300000003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5" x14ac:dyDescent="0.25">
      <c r="A7" s="52" t="s">
        <v>4</v>
      </c>
      <c r="B7" s="53"/>
      <c r="C7" s="1">
        <f>+C5*(1-0.97)</f>
        <v>1282500.0000000012</v>
      </c>
      <c r="D7" s="30">
        <f>+C7/C5</f>
        <v>3.0000000000000027E-2</v>
      </c>
      <c r="E7" s="1">
        <f>+E5*(1-0.97)</f>
        <v>1282500.0000000012</v>
      </c>
      <c r="F7" s="1">
        <f>+F5*(1-0.97)</f>
        <v>1282500.0000000012</v>
      </c>
      <c r="G7" s="2">
        <f t="shared" si="2"/>
        <v>3847500.0300000031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5" x14ac:dyDescent="0.25">
      <c r="A8" s="52" t="s">
        <v>11</v>
      </c>
      <c r="B8" s="53"/>
      <c r="C8" s="1">
        <f>+C5*0.05</f>
        <v>2137500</v>
      </c>
      <c r="D8" s="30">
        <f>+C8/C5</f>
        <v>0.05</v>
      </c>
      <c r="E8" s="1">
        <v>650000</v>
      </c>
      <c r="F8" s="1">
        <v>650000</v>
      </c>
      <c r="G8" s="2">
        <f t="shared" si="2"/>
        <v>3437500.05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5" x14ac:dyDescent="0.25">
      <c r="A9" s="52" t="s">
        <v>10</v>
      </c>
      <c r="B9" s="53"/>
      <c r="C9" s="1">
        <f>+C5*0.035</f>
        <v>1496250.0000000002</v>
      </c>
      <c r="D9" s="30">
        <f>+C9/C5</f>
        <v>3.5000000000000003E-2</v>
      </c>
      <c r="E9" s="1">
        <v>500000</v>
      </c>
      <c r="F9" s="1">
        <v>500000</v>
      </c>
      <c r="G9" s="2">
        <f t="shared" si="2"/>
        <v>2496250.0350000001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5" x14ac:dyDescent="0.25">
      <c r="A10" s="52" t="s">
        <v>13</v>
      </c>
      <c r="B10" s="53"/>
      <c r="C10" s="1"/>
      <c r="D10" s="1"/>
      <c r="E10" s="1">
        <v>500000</v>
      </c>
      <c r="F10" s="1"/>
      <c r="G10" s="2">
        <f t="shared" si="2"/>
        <v>500000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5" x14ac:dyDescent="0.25">
      <c r="A11" s="52" t="s">
        <v>9</v>
      </c>
      <c r="B11" s="53"/>
      <c r="C11" s="1">
        <f>SUM(C6:C10)</f>
        <v>6198750.0000000009</v>
      </c>
      <c r="D11" s="30">
        <f>+C11/C5</f>
        <v>0.14500000000000002</v>
      </c>
      <c r="E11" s="1">
        <f>SUM(E6:E10)</f>
        <v>3787500.0000000009</v>
      </c>
      <c r="F11" s="1">
        <f>SUM(F6:F10)</f>
        <v>3287500.0000000009</v>
      </c>
      <c r="G11" s="2">
        <f t="shared" si="2"/>
        <v>13273750.145000003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5" x14ac:dyDescent="0.25">
      <c r="A12" s="54" t="s">
        <v>12</v>
      </c>
      <c r="B12" s="55"/>
      <c r="C12" s="21">
        <f>+C5-C11</f>
        <v>36551250</v>
      </c>
      <c r="D12" s="21"/>
      <c r="E12" s="21">
        <f>+E5-E11</f>
        <v>38962500</v>
      </c>
      <c r="F12" s="21">
        <f>+F5-F11</f>
        <v>39462500</v>
      </c>
      <c r="G12" s="20">
        <f t="shared" si="2"/>
        <v>114976250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5" x14ac:dyDescent="0.25">
      <c r="A13" s="58" t="s">
        <v>20</v>
      </c>
      <c r="B13" s="59"/>
      <c r="C13" s="1">
        <f>+C11+C12</f>
        <v>42750000</v>
      </c>
      <c r="D13" s="31">
        <f>+C13/B4</f>
        <v>0.75</v>
      </c>
      <c r="E13" s="1">
        <f t="shared" ref="E13:F13" si="3">+E11+E12</f>
        <v>42750000</v>
      </c>
      <c r="F13" s="1">
        <f t="shared" si="3"/>
        <v>42750000</v>
      </c>
      <c r="G13" s="2">
        <f t="shared" si="2"/>
        <v>128250000.75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5" x14ac:dyDescent="0.25">
      <c r="A14" s="14" t="s">
        <v>8</v>
      </c>
      <c r="B14" s="15">
        <v>0.25</v>
      </c>
      <c r="C14" s="1">
        <f>+$B$4*$B$14</f>
        <v>14250000</v>
      </c>
      <c r="D14" s="31">
        <f>+C14/B4</f>
        <v>0.25</v>
      </c>
      <c r="E14" s="1">
        <f>+$B$4*$B$14</f>
        <v>14250000</v>
      </c>
      <c r="F14" s="1">
        <f>+$B$4*$B$14</f>
        <v>14250000</v>
      </c>
      <c r="G14" s="2">
        <f t="shared" si="2"/>
        <v>42750000.25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5" x14ac:dyDescent="0.25">
      <c r="A15" s="58" t="s">
        <v>21</v>
      </c>
      <c r="B15" s="59"/>
      <c r="C15" s="1">
        <f>+C13+C14</f>
        <v>57000000</v>
      </c>
      <c r="D15" s="29">
        <f>+C15/B4</f>
        <v>1</v>
      </c>
      <c r="E15" s="1">
        <f t="shared" ref="E15:F15" si="4">+E13+E14</f>
        <v>57000000</v>
      </c>
      <c r="F15" s="1">
        <f t="shared" si="4"/>
        <v>57000000</v>
      </c>
      <c r="G15" s="2">
        <f t="shared" si="2"/>
        <v>171000001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5" x14ac:dyDescent="0.25">
      <c r="A16" s="56" t="s">
        <v>14</v>
      </c>
      <c r="B16" s="57"/>
      <c r="C16" s="1"/>
      <c r="D16" s="1"/>
      <c r="E16" s="1"/>
      <c r="F16" s="1"/>
      <c r="G16" s="2">
        <f t="shared" si="2"/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15" x14ac:dyDescent="0.25">
      <c r="A18" s="7"/>
      <c r="B18" s="7"/>
      <c r="C18" s="65" t="s">
        <v>19</v>
      </c>
      <c r="D18" s="65"/>
      <c r="E18" s="65" t="s">
        <v>0</v>
      </c>
      <c r="F18" s="65"/>
      <c r="G18" s="65" t="s">
        <v>1</v>
      </c>
      <c r="H18" s="65"/>
      <c r="I18" s="65" t="s">
        <v>3</v>
      </c>
      <c r="J18" s="65"/>
      <c r="K18" s="65" t="s">
        <v>2</v>
      </c>
      <c r="L18" s="6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22"/>
      <c r="AB18" s="22"/>
    </row>
    <row r="19" spans="1:28" ht="15" x14ac:dyDescent="0.25">
      <c r="A19" s="7"/>
      <c r="B19" s="7"/>
      <c r="C19" s="23" t="s">
        <v>15</v>
      </c>
      <c r="D19" s="23" t="s">
        <v>16</v>
      </c>
      <c r="E19" s="23" t="s">
        <v>15</v>
      </c>
      <c r="F19" s="23" t="s">
        <v>16</v>
      </c>
      <c r="G19" s="23" t="s">
        <v>15</v>
      </c>
      <c r="H19" s="23" t="s">
        <v>16</v>
      </c>
      <c r="I19" s="23" t="s">
        <v>15</v>
      </c>
      <c r="J19" s="23" t="s">
        <v>16</v>
      </c>
      <c r="K19" s="23" t="s">
        <v>15</v>
      </c>
      <c r="L19" s="23" t="s">
        <v>16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2"/>
      <c r="AB19" s="22"/>
    </row>
    <row r="20" spans="1:28" ht="15" x14ac:dyDescent="0.25">
      <c r="A20" s="66" t="s">
        <v>23</v>
      </c>
      <c r="B20" s="67"/>
      <c r="C20" s="2">
        <f>+C12*0.4</f>
        <v>14620500</v>
      </c>
      <c r="D20" s="24">
        <f>+C20/C23</f>
        <v>0.4</v>
      </c>
      <c r="E20" s="2">
        <v>9200000</v>
      </c>
      <c r="F20" s="24">
        <f>+E20/E23</f>
        <v>0.2668600435097897</v>
      </c>
      <c r="G20" s="2">
        <v>9700000</v>
      </c>
      <c r="H20" s="24">
        <f>+G20/G23</f>
        <v>0.28550404709345106</v>
      </c>
      <c r="I20" s="2">
        <v>9200000</v>
      </c>
      <c r="J20" s="24">
        <f>+I20/I23</f>
        <v>0.2668600435097897</v>
      </c>
      <c r="K20" s="2">
        <f>+C20+E20+G20+I20</f>
        <v>42720500</v>
      </c>
      <c r="L20" s="24" t="e">
        <f>+K20/K23</f>
        <v>#REF!</v>
      </c>
      <c r="M20" s="1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2"/>
      <c r="AB20" s="22"/>
    </row>
    <row r="21" spans="1:28" ht="15" x14ac:dyDescent="0.25">
      <c r="A21" s="34" t="s">
        <v>30</v>
      </c>
      <c r="B21" s="33"/>
      <c r="C21" s="60">
        <v>9000000</v>
      </c>
      <c r="D21" s="61"/>
      <c r="E21" s="2">
        <v>10000000</v>
      </c>
      <c r="F21" s="24">
        <f>+E21/E23</f>
        <v>0.29006526468455401</v>
      </c>
      <c r="G21" s="2">
        <v>9500000</v>
      </c>
      <c r="H21" s="24">
        <f>+G21/G23</f>
        <v>0.27961736571008095</v>
      </c>
      <c r="I21" s="2">
        <v>10000000</v>
      </c>
      <c r="J21" s="24">
        <f>+I21/I23</f>
        <v>0.29006526468455401</v>
      </c>
      <c r="K21" s="2">
        <f>+C22+E21+G21+I21</f>
        <v>51430750</v>
      </c>
      <c r="L21" s="24" t="e">
        <f>+K21/K23</f>
        <v>#REF!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8" ht="14.4" customHeight="1" x14ac:dyDescent="0.25">
      <c r="A22" s="54" t="s">
        <v>24</v>
      </c>
      <c r="B22" s="55"/>
      <c r="C22" s="2">
        <f>+C12*0.6</f>
        <v>21930750</v>
      </c>
      <c r="D22" s="24">
        <f>+C22/C23</f>
        <v>0.6</v>
      </c>
      <c r="E22" s="2">
        <v>15275000</v>
      </c>
      <c r="F22" s="24">
        <f>+E22/E23</f>
        <v>0.44307469180565628</v>
      </c>
      <c r="G22" s="2">
        <v>14775000</v>
      </c>
      <c r="H22" s="24">
        <f>+G22/G23</f>
        <v>0.43487858719646799</v>
      </c>
      <c r="I22" s="2">
        <v>15275000</v>
      </c>
      <c r="J22" s="24">
        <f>+I22/I23</f>
        <v>0.44307469180565628</v>
      </c>
      <c r="K22" s="2" t="e">
        <f>+#REF!+E22+G22+I22</f>
        <v>#REF!</v>
      </c>
      <c r="L22" s="24" t="e">
        <f>+K22/K23</f>
        <v>#REF!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8" ht="15" x14ac:dyDescent="0.25">
      <c r="A23" s="49" t="s">
        <v>2</v>
      </c>
      <c r="B23" s="50"/>
      <c r="C23" s="25">
        <f>+C20+C22</f>
        <v>36551250</v>
      </c>
      <c r="D23" s="26">
        <f>SUM(D20:D22)</f>
        <v>1</v>
      </c>
      <c r="E23" s="25">
        <f t="shared" ref="E23:L23" si="5">SUM(E20:E22)</f>
        <v>34475000</v>
      </c>
      <c r="F23" s="26">
        <f t="shared" si="5"/>
        <v>1</v>
      </c>
      <c r="G23" s="25">
        <f t="shared" si="5"/>
        <v>33975000</v>
      </c>
      <c r="H23" s="26">
        <f t="shared" si="5"/>
        <v>1</v>
      </c>
      <c r="I23" s="25">
        <f t="shared" si="5"/>
        <v>34475000</v>
      </c>
      <c r="J23" s="26">
        <f t="shared" si="5"/>
        <v>1</v>
      </c>
      <c r="K23" s="25" t="e">
        <f t="shared" si="5"/>
        <v>#REF!</v>
      </c>
      <c r="L23" s="26" t="e">
        <f t="shared" si="5"/>
        <v>#REF!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8" ht="15" x14ac:dyDescent="0.25">
      <c r="A24" s="9"/>
      <c r="B24" s="9"/>
      <c r="C24" s="9"/>
      <c r="D24" s="9"/>
      <c r="E24" s="9"/>
      <c r="F24" s="9"/>
      <c r="G24" s="9"/>
      <c r="H24" s="10"/>
      <c r="I24" s="10"/>
      <c r="J24" s="10"/>
      <c r="K24" s="10"/>
      <c r="L24" s="10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8" ht="14.4" customHeight="1" x14ac:dyDescent="0.25">
      <c r="A25" s="45"/>
      <c r="B25" s="43"/>
      <c r="C25" s="9"/>
      <c r="D25" s="9"/>
      <c r="E25" s="9"/>
      <c r="F25" s="9"/>
      <c r="G25" s="9"/>
      <c r="H25" s="10"/>
      <c r="I25" s="10"/>
      <c r="J25" s="10"/>
      <c r="K25" s="10"/>
      <c r="L25" s="10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8" ht="18.75" x14ac:dyDescent="0.3">
      <c r="A26" s="68" t="s">
        <v>25</v>
      </c>
      <c r="B26" s="69"/>
      <c r="C26" s="65" t="s">
        <v>19</v>
      </c>
      <c r="D26" s="65"/>
      <c r="E26" s="65" t="s">
        <v>0</v>
      </c>
      <c r="F26" s="65"/>
      <c r="G26" s="65" t="s">
        <v>1</v>
      </c>
      <c r="H26" s="65"/>
      <c r="I26" s="65" t="s">
        <v>3</v>
      </c>
      <c r="J26" s="65"/>
      <c r="K26" s="65" t="s">
        <v>2</v>
      </c>
      <c r="L26" s="65"/>
      <c r="M26" s="39" t="s">
        <v>38</v>
      </c>
      <c r="N26" s="39" t="s">
        <v>39</v>
      </c>
      <c r="O26" s="39" t="s">
        <v>40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8" ht="14.4" customHeight="1" x14ac:dyDescent="0.25">
      <c r="A27" s="18" t="s">
        <v>26</v>
      </c>
      <c r="B27" s="16"/>
      <c r="C27" s="36">
        <f>+D27*$C$12</f>
        <v>15753588.75</v>
      </c>
      <c r="D27" s="44">
        <v>0.43099999999999999</v>
      </c>
      <c r="E27" s="70">
        <f>+D20</f>
        <v>0.4</v>
      </c>
      <c r="F27" s="71"/>
      <c r="G27" s="70">
        <f>+E20</f>
        <v>9200000</v>
      </c>
      <c r="H27" s="71"/>
      <c r="I27" s="70">
        <f>+F20</f>
        <v>0.2668600435097897</v>
      </c>
      <c r="J27" s="71"/>
      <c r="K27" s="70">
        <f>+G20</f>
        <v>9700000</v>
      </c>
      <c r="L27" s="71"/>
      <c r="M27" s="40">
        <v>20673845</v>
      </c>
      <c r="N27" s="41">
        <f>+C27-M27</f>
        <v>-4920256.25</v>
      </c>
      <c r="O27" s="29">
        <f>+N27/M27</f>
        <v>-0.23799425070662955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8" ht="15" x14ac:dyDescent="0.25">
      <c r="A28" s="32" t="s">
        <v>27</v>
      </c>
      <c r="B28" s="16"/>
      <c r="C28" s="36">
        <f t="shared" ref="C28:C31" si="6">+D28*$C$12</f>
        <v>6761981.25</v>
      </c>
      <c r="D28" s="44">
        <v>0.185</v>
      </c>
      <c r="E28" s="38"/>
      <c r="F28" s="37"/>
      <c r="G28" s="36"/>
      <c r="H28" s="37"/>
      <c r="I28" s="36"/>
      <c r="J28" s="37"/>
      <c r="K28" s="36"/>
      <c r="L28" s="37"/>
      <c r="M28" s="40">
        <v>5654802</v>
      </c>
      <c r="N28" s="41">
        <f t="shared" ref="N28:N32" si="7">+C28-M28</f>
        <v>1107179.25</v>
      </c>
      <c r="O28" s="29">
        <f t="shared" ref="O28:O30" si="8">+N28/M28</f>
        <v>0.19579452118747925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8" ht="14.4" customHeight="1" x14ac:dyDescent="0.25">
      <c r="A29" s="32" t="s">
        <v>28</v>
      </c>
      <c r="B29" s="16"/>
      <c r="C29" s="36">
        <f t="shared" si="6"/>
        <v>4276496.25</v>
      </c>
      <c r="D29" s="44">
        <v>0.11700000000000001</v>
      </c>
      <c r="E29" s="38"/>
      <c r="F29" s="37"/>
      <c r="G29" s="36"/>
      <c r="H29" s="37"/>
      <c r="I29" s="36"/>
      <c r="J29" s="37"/>
      <c r="K29" s="36"/>
      <c r="L29" s="37"/>
      <c r="M29" s="40">
        <v>2802925</v>
      </c>
      <c r="N29" s="41">
        <f t="shared" si="7"/>
        <v>1473571.25</v>
      </c>
      <c r="O29" s="29">
        <f t="shared" si="8"/>
        <v>0.52572625025642861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8" ht="15" x14ac:dyDescent="0.25">
      <c r="A30" s="32" t="s">
        <v>29</v>
      </c>
      <c r="B30" s="16"/>
      <c r="C30" s="36">
        <f t="shared" si="6"/>
        <v>9759183.75</v>
      </c>
      <c r="D30" s="44">
        <v>0.26700000000000002</v>
      </c>
      <c r="E30" s="38"/>
      <c r="F30" s="37"/>
      <c r="G30" s="36"/>
      <c r="H30" s="37"/>
      <c r="I30" s="36"/>
      <c r="J30" s="37"/>
      <c r="K30" s="36"/>
      <c r="L30" s="37"/>
      <c r="M30" s="40">
        <v>9354132</v>
      </c>
      <c r="N30" s="41">
        <f t="shared" si="7"/>
        <v>405051.75</v>
      </c>
      <c r="O30" s="29">
        <f t="shared" si="8"/>
        <v>4.3301906579894321E-2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8" ht="15" x14ac:dyDescent="0.25">
      <c r="A31" s="19" t="s">
        <v>42</v>
      </c>
      <c r="B31" s="16"/>
      <c r="C31" s="36">
        <f t="shared" si="6"/>
        <v>0</v>
      </c>
      <c r="D31" s="44">
        <v>0</v>
      </c>
      <c r="E31" s="72" t="e">
        <f>+#REF!</f>
        <v>#REF!</v>
      </c>
      <c r="F31" s="71"/>
      <c r="G31" s="70" t="e">
        <f>+#REF!</f>
        <v>#REF!</v>
      </c>
      <c r="H31" s="71"/>
      <c r="I31" s="70" t="e">
        <f>+#REF!</f>
        <v>#REF!</v>
      </c>
      <c r="J31" s="71"/>
      <c r="K31" s="70" t="e">
        <f>+#REF!</f>
        <v>#REF!</v>
      </c>
      <c r="L31" s="71"/>
      <c r="M31" s="40">
        <v>0</v>
      </c>
      <c r="N31" s="41">
        <f t="shared" si="7"/>
        <v>0</v>
      </c>
      <c r="O31" s="29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8" ht="15" x14ac:dyDescent="0.25">
      <c r="A32" s="73" t="s">
        <v>2</v>
      </c>
      <c r="B32" s="74"/>
      <c r="C32" s="36">
        <f>SUM(C27:C31)</f>
        <v>36551250</v>
      </c>
      <c r="D32" s="44">
        <f>SUM(D27:D31)</f>
        <v>1</v>
      </c>
      <c r="E32" s="70" t="e">
        <f>+E27-E31</f>
        <v>#REF!</v>
      </c>
      <c r="F32" s="59"/>
      <c r="G32" s="70" t="e">
        <f>+G27-G31</f>
        <v>#REF!</v>
      </c>
      <c r="H32" s="59"/>
      <c r="I32" s="70" t="e">
        <f>+I27-I31</f>
        <v>#REF!</v>
      </c>
      <c r="J32" s="59"/>
      <c r="K32" s="70" t="e">
        <f>+K27-K31</f>
        <v>#REF!</v>
      </c>
      <c r="L32" s="59"/>
      <c r="M32" s="40">
        <f>SUM(M27:M31)</f>
        <v>38485704</v>
      </c>
      <c r="N32" s="41">
        <f t="shared" si="7"/>
        <v>-1934454</v>
      </c>
      <c r="O32" s="29">
        <f t="shared" ref="O32" si="9">+N32/M32</f>
        <v>-5.0264222787765558E-2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" x14ac:dyDescent="0.25">
      <c r="A33" s="9"/>
      <c r="B33" s="9"/>
      <c r="C33" s="9"/>
      <c r="D33" s="9"/>
      <c r="E33" s="9"/>
      <c r="F33" s="9"/>
      <c r="G33" s="9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" x14ac:dyDescent="0.25">
      <c r="A34" s="9"/>
      <c r="B34" s="9"/>
      <c r="C34" s="9"/>
      <c r="D34" s="9"/>
      <c r="E34" s="9"/>
      <c r="F34" s="9"/>
      <c r="G34" s="9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" x14ac:dyDescent="0.25">
      <c r="A35" s="9"/>
      <c r="B35" s="9"/>
      <c r="C35" s="9"/>
      <c r="D35" s="9"/>
      <c r="E35" s="9"/>
      <c r="F35" s="9"/>
      <c r="G35" s="9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" x14ac:dyDescent="0.25">
      <c r="A36" s="9"/>
      <c r="B36" s="9"/>
      <c r="C36" s="9"/>
      <c r="D36" s="9"/>
      <c r="E36" s="9"/>
      <c r="F36" s="9"/>
      <c r="G36" s="9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</sheetData>
  <mergeCells count="40">
    <mergeCell ref="E31:F31"/>
    <mergeCell ref="G31:H31"/>
    <mergeCell ref="I31:J31"/>
    <mergeCell ref="K31:L31"/>
    <mergeCell ref="A32:B32"/>
    <mergeCell ref="E32:F32"/>
    <mergeCell ref="G32:H32"/>
    <mergeCell ref="I32:J32"/>
    <mergeCell ref="K32:L32"/>
    <mergeCell ref="K26:L26"/>
    <mergeCell ref="E27:F27"/>
    <mergeCell ref="G27:H27"/>
    <mergeCell ref="I27:J27"/>
    <mergeCell ref="K27:L27"/>
    <mergeCell ref="A26:B26"/>
    <mergeCell ref="C26:D26"/>
    <mergeCell ref="E26:F26"/>
    <mergeCell ref="G26:H26"/>
    <mergeCell ref="I26:J26"/>
    <mergeCell ref="A1:D1"/>
    <mergeCell ref="K18:L18"/>
    <mergeCell ref="A22:B22"/>
    <mergeCell ref="A20:B20"/>
    <mergeCell ref="C18:D18"/>
    <mergeCell ref="E18:F18"/>
    <mergeCell ref="G18:H18"/>
    <mergeCell ref="I18:J18"/>
    <mergeCell ref="A23:B23"/>
    <mergeCell ref="A3:G3"/>
    <mergeCell ref="A6:B6"/>
    <mergeCell ref="A7:B7"/>
    <mergeCell ref="A9:B9"/>
    <mergeCell ref="A8:B8"/>
    <mergeCell ref="A10:B10"/>
    <mergeCell ref="A11:B11"/>
    <mergeCell ref="A12:B12"/>
    <mergeCell ref="A16:B16"/>
    <mergeCell ref="A13:B13"/>
    <mergeCell ref="A15:B15"/>
    <mergeCell ref="C21:D21"/>
  </mergeCells>
  <pageMargins left="0.7" right="0.7" top="0.75" bottom="0.75" header="0.3" footer="0.3"/>
  <pageSetup scale="94" orientation="landscape" r:id="rId1"/>
  <ignoredErrors>
    <ignoredError sqref="C14 E14:F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zoomScaleNormal="100" workbookViewId="0">
      <selection activeCell="A7" sqref="A7:B7"/>
    </sheetView>
  </sheetViews>
  <sheetFormatPr defaultRowHeight="14.4" x14ac:dyDescent="0.3"/>
  <cols>
    <col min="1" max="1" width="27" customWidth="1"/>
    <col min="2" max="2" width="19" customWidth="1"/>
    <col min="3" max="3" width="15.33203125" customWidth="1"/>
    <col min="4" max="4" width="17.33203125" customWidth="1"/>
    <col min="5" max="6" width="0" hidden="1" customWidth="1"/>
    <col min="7" max="7" width="0.109375" hidden="1" customWidth="1"/>
    <col min="8" max="9" width="0" hidden="1" customWidth="1"/>
    <col min="10" max="10" width="14.33203125" bestFit="1" customWidth="1"/>
    <col min="11" max="12" width="12.33203125" bestFit="1" customWidth="1"/>
  </cols>
  <sheetData>
    <row r="2" spans="1:8" ht="25.5" customHeight="1" x14ac:dyDescent="0.35">
      <c r="A2" s="62" t="s">
        <v>33</v>
      </c>
      <c r="B2" s="77"/>
      <c r="C2" s="77"/>
      <c r="D2" s="78"/>
      <c r="E2" s="3"/>
      <c r="F2" s="3"/>
      <c r="G2" s="5"/>
      <c r="H2" s="9"/>
    </row>
    <row r="3" spans="1:8" ht="15" customHeight="1" x14ac:dyDescent="0.25">
      <c r="A3" s="79" t="s">
        <v>32</v>
      </c>
      <c r="B3" s="80"/>
      <c r="C3" s="80"/>
      <c r="D3" s="80"/>
      <c r="E3" s="80"/>
      <c r="F3" s="80"/>
      <c r="G3" s="81"/>
      <c r="H3" s="8"/>
    </row>
    <row r="4" spans="1:8" ht="15" x14ac:dyDescent="0.25">
      <c r="A4" s="28" t="s">
        <v>5</v>
      </c>
      <c r="B4" s="11">
        <v>15700000</v>
      </c>
      <c r="C4" s="27" t="s">
        <v>19</v>
      </c>
      <c r="D4" s="27" t="s">
        <v>22</v>
      </c>
      <c r="E4" s="27" t="s">
        <v>1</v>
      </c>
      <c r="F4" s="27" t="s">
        <v>3</v>
      </c>
      <c r="G4" s="27" t="s">
        <v>2</v>
      </c>
      <c r="H4" s="8"/>
    </row>
    <row r="5" spans="1:8" ht="15" x14ac:dyDescent="0.25">
      <c r="A5" s="14" t="s">
        <v>7</v>
      </c>
      <c r="B5" s="15">
        <v>0.75</v>
      </c>
      <c r="C5" s="2">
        <f>+$B$4*$B$5</f>
        <v>11775000</v>
      </c>
      <c r="D5" s="2"/>
      <c r="E5" s="2">
        <f t="shared" ref="E5:F5" si="0">+$B$4*$B$5</f>
        <v>11775000</v>
      </c>
      <c r="F5" s="2">
        <f t="shared" si="0"/>
        <v>11775000</v>
      </c>
      <c r="G5" s="2">
        <f>SUM(C5:F5)</f>
        <v>35325000</v>
      </c>
      <c r="H5" s="8"/>
    </row>
    <row r="6" spans="1:8" ht="15" x14ac:dyDescent="0.25">
      <c r="A6" s="52" t="s">
        <v>6</v>
      </c>
      <c r="B6" s="53"/>
      <c r="C6" s="1">
        <f>+C5*0.03</f>
        <v>353250</v>
      </c>
      <c r="D6" s="30">
        <f>+C6/C5</f>
        <v>0.03</v>
      </c>
      <c r="E6" s="1">
        <f t="shared" ref="E6:F6" si="1">+E5*0.02</f>
        <v>235500</v>
      </c>
      <c r="F6" s="1">
        <f t="shared" si="1"/>
        <v>235500</v>
      </c>
      <c r="G6" s="2">
        <f t="shared" ref="G6:G16" si="2">SUM(C6:F6)</f>
        <v>824250.03</v>
      </c>
      <c r="H6" s="8"/>
    </row>
    <row r="7" spans="1:8" ht="15" x14ac:dyDescent="0.25">
      <c r="A7" s="52" t="s">
        <v>4</v>
      </c>
      <c r="B7" s="53"/>
      <c r="C7" s="1">
        <f>+C5*(1-0.97)</f>
        <v>353250.00000000029</v>
      </c>
      <c r="D7" s="30">
        <f>+C7/C5</f>
        <v>3.0000000000000023E-2</v>
      </c>
      <c r="E7" s="1">
        <f>+E5*(1-0.97)</f>
        <v>353250.00000000029</v>
      </c>
      <c r="F7" s="1">
        <f>+F5*(1-0.97)</f>
        <v>353250.00000000029</v>
      </c>
      <c r="G7" s="2">
        <f t="shared" si="2"/>
        <v>1059750.030000001</v>
      </c>
      <c r="H7" s="8"/>
    </row>
    <row r="8" spans="1:8" ht="15" x14ac:dyDescent="0.25">
      <c r="A8" s="52" t="s">
        <v>11</v>
      </c>
      <c r="B8" s="53"/>
      <c r="C8" s="1">
        <f>+C5*0.05</f>
        <v>588750</v>
      </c>
      <c r="D8" s="30">
        <f>+C8/C5</f>
        <v>0.05</v>
      </c>
      <c r="E8" s="1">
        <v>650000</v>
      </c>
      <c r="F8" s="1">
        <v>650000</v>
      </c>
      <c r="G8" s="2">
        <f t="shared" si="2"/>
        <v>1888750.05</v>
      </c>
      <c r="H8" s="8"/>
    </row>
    <row r="9" spans="1:8" ht="15" x14ac:dyDescent="0.25">
      <c r="A9" s="52" t="s">
        <v>10</v>
      </c>
      <c r="B9" s="53"/>
      <c r="C9" s="1">
        <f>+C5*0.035</f>
        <v>412125.00000000006</v>
      </c>
      <c r="D9" s="30">
        <f>+C9/C5</f>
        <v>3.5000000000000003E-2</v>
      </c>
      <c r="E9" s="1">
        <v>500000</v>
      </c>
      <c r="F9" s="1">
        <v>500000</v>
      </c>
      <c r="G9" s="2">
        <f t="shared" si="2"/>
        <v>1412125.0350000001</v>
      </c>
      <c r="H9" s="8"/>
    </row>
    <row r="10" spans="1:8" ht="15" x14ac:dyDescent="0.25">
      <c r="A10" s="52" t="s">
        <v>13</v>
      </c>
      <c r="B10" s="53"/>
      <c r="C10" s="1"/>
      <c r="D10" s="1"/>
      <c r="E10" s="1">
        <v>500000</v>
      </c>
      <c r="F10" s="1"/>
      <c r="G10" s="2">
        <f t="shared" si="2"/>
        <v>500000</v>
      </c>
      <c r="H10" s="8"/>
    </row>
    <row r="11" spans="1:8" ht="15" x14ac:dyDescent="0.25">
      <c r="A11" s="52" t="s">
        <v>9</v>
      </c>
      <c r="B11" s="53"/>
      <c r="C11" s="1">
        <f>SUM(C6:C10)</f>
        <v>1707375.0000000002</v>
      </c>
      <c r="D11" s="30">
        <f>+C11/C5</f>
        <v>0.14500000000000002</v>
      </c>
      <c r="E11" s="1">
        <f>SUM(E6:E10)</f>
        <v>2238750</v>
      </c>
      <c r="F11" s="1">
        <f>SUM(F6:F10)</f>
        <v>1738750.0000000002</v>
      </c>
      <c r="G11" s="2">
        <f t="shared" si="2"/>
        <v>5684875.1450000005</v>
      </c>
      <c r="H11" s="8"/>
    </row>
    <row r="12" spans="1:8" ht="15" x14ac:dyDescent="0.25">
      <c r="A12" s="54" t="s">
        <v>12</v>
      </c>
      <c r="B12" s="55"/>
      <c r="C12" s="21">
        <f>+C5-C11</f>
        <v>10067625</v>
      </c>
      <c r="D12" s="21"/>
      <c r="E12" s="21">
        <f>+E5-E11</f>
        <v>9536250</v>
      </c>
      <c r="F12" s="21">
        <f>+F5-F11</f>
        <v>10036250</v>
      </c>
      <c r="G12" s="20">
        <f t="shared" si="2"/>
        <v>29640125</v>
      </c>
      <c r="H12" s="8"/>
    </row>
    <row r="13" spans="1:8" ht="15" x14ac:dyDescent="0.25">
      <c r="A13" s="58" t="s">
        <v>20</v>
      </c>
      <c r="B13" s="59"/>
      <c r="C13" s="1">
        <f>+C11+C12</f>
        <v>11775000</v>
      </c>
      <c r="D13" s="31">
        <f>+C13/B4</f>
        <v>0.75</v>
      </c>
      <c r="E13" s="1">
        <f t="shared" ref="E13:F13" si="3">+E11+E12</f>
        <v>11775000</v>
      </c>
      <c r="F13" s="1">
        <f t="shared" si="3"/>
        <v>11775000</v>
      </c>
      <c r="G13" s="2">
        <f t="shared" si="2"/>
        <v>35325000.75</v>
      </c>
      <c r="H13" s="8"/>
    </row>
    <row r="14" spans="1:8" ht="15" x14ac:dyDescent="0.25">
      <c r="A14" s="14" t="s">
        <v>8</v>
      </c>
      <c r="B14" s="15">
        <v>0.25</v>
      </c>
      <c r="C14" s="1">
        <f>+$B$4*$B$14</f>
        <v>3925000</v>
      </c>
      <c r="D14" s="31">
        <f>+C14/B4</f>
        <v>0.25</v>
      </c>
      <c r="E14" s="1">
        <f>+$B$4*$B$14</f>
        <v>3925000</v>
      </c>
      <c r="F14" s="1">
        <f>+$B$4*$B$14</f>
        <v>3925000</v>
      </c>
      <c r="G14" s="2">
        <f t="shared" si="2"/>
        <v>11775000.25</v>
      </c>
      <c r="H14" s="8"/>
    </row>
    <row r="15" spans="1:8" ht="15" x14ac:dyDescent="0.25">
      <c r="A15" s="58" t="s">
        <v>21</v>
      </c>
      <c r="B15" s="59"/>
      <c r="C15" s="1">
        <f>+C13+C14</f>
        <v>15700000</v>
      </c>
      <c r="D15" s="29">
        <f>+C15/B4</f>
        <v>1</v>
      </c>
      <c r="E15" s="1">
        <f t="shared" ref="E15:F15" si="4">+E13+E14</f>
        <v>15700000</v>
      </c>
      <c r="F15" s="1">
        <f t="shared" si="4"/>
        <v>15700000</v>
      </c>
      <c r="G15" s="2">
        <f t="shared" si="2"/>
        <v>47100001</v>
      </c>
      <c r="H15" s="8"/>
    </row>
    <row r="16" spans="1:8" ht="15" x14ac:dyDescent="0.25">
      <c r="A16" s="56" t="s">
        <v>14</v>
      </c>
      <c r="B16" s="57"/>
      <c r="C16" s="1"/>
      <c r="D16" s="1"/>
      <c r="E16" s="1"/>
      <c r="F16" s="1"/>
      <c r="G16" s="2">
        <f t="shared" si="2"/>
        <v>0</v>
      </c>
      <c r="H16" s="8"/>
    </row>
    <row r="17" spans="1:12" ht="9" customHeight="1" x14ac:dyDescent="0.25">
      <c r="A17" s="7"/>
      <c r="B17" s="7"/>
      <c r="C17" s="7"/>
      <c r="D17" s="7"/>
      <c r="E17" s="7"/>
      <c r="F17" s="7"/>
      <c r="G17" s="7"/>
      <c r="H17" s="7"/>
    </row>
    <row r="18" spans="1:12" ht="15" x14ac:dyDescent="0.25">
      <c r="A18" s="7"/>
      <c r="B18" s="7"/>
      <c r="C18" s="75" t="s">
        <v>19</v>
      </c>
      <c r="D18" s="76"/>
      <c r="E18" s="75" t="s">
        <v>0</v>
      </c>
      <c r="F18" s="76"/>
      <c r="G18" s="75" t="s">
        <v>1</v>
      </c>
      <c r="H18" s="76"/>
    </row>
    <row r="19" spans="1:12" ht="15" x14ac:dyDescent="0.25">
      <c r="A19" s="7"/>
      <c r="B19" s="7"/>
      <c r="C19" s="23" t="s">
        <v>15</v>
      </c>
      <c r="D19" s="23" t="s">
        <v>16</v>
      </c>
      <c r="E19" s="23" t="s">
        <v>15</v>
      </c>
      <c r="F19" s="23" t="s">
        <v>16</v>
      </c>
      <c r="G19" s="23" t="s">
        <v>15</v>
      </c>
      <c r="H19" s="23" t="s">
        <v>16</v>
      </c>
    </row>
    <row r="20" spans="1:12" ht="15" x14ac:dyDescent="0.25">
      <c r="A20" s="54" t="s">
        <v>23</v>
      </c>
      <c r="B20" s="55"/>
      <c r="C20" s="2">
        <f>+C12*0.6</f>
        <v>6040575</v>
      </c>
      <c r="D20" s="24">
        <f>+C20/C23</f>
        <v>0.6</v>
      </c>
      <c r="E20" s="2">
        <v>9200000</v>
      </c>
      <c r="F20" s="24">
        <f>+E20/E23</f>
        <v>0.2668600435097897</v>
      </c>
      <c r="G20" s="2">
        <v>9700000</v>
      </c>
      <c r="H20" s="24">
        <f>+G20/G23</f>
        <v>0.28550404709345106</v>
      </c>
    </row>
    <row r="21" spans="1:12" ht="15" x14ac:dyDescent="0.25">
      <c r="A21" s="34" t="s">
        <v>30</v>
      </c>
      <c r="B21" s="33"/>
      <c r="C21" s="35">
        <v>3000000</v>
      </c>
      <c r="E21" s="2">
        <v>10000000</v>
      </c>
      <c r="F21" s="24">
        <f>+E21/E23</f>
        <v>0.29006526468455401</v>
      </c>
      <c r="G21" s="2">
        <v>9500000</v>
      </c>
      <c r="H21" s="24">
        <f>+G21/G23</f>
        <v>0.27961736571008095</v>
      </c>
    </row>
    <row r="22" spans="1:12" ht="15" x14ac:dyDescent="0.25">
      <c r="A22" s="54" t="s">
        <v>24</v>
      </c>
      <c r="B22" s="55"/>
      <c r="C22" s="2">
        <f>+C12*0.4</f>
        <v>4027050</v>
      </c>
      <c r="D22" s="24">
        <f>+C22/C23</f>
        <v>0.4</v>
      </c>
      <c r="E22" s="2">
        <v>15275000</v>
      </c>
      <c r="F22" s="24">
        <f>+E22/E23</f>
        <v>0.44307469180565628</v>
      </c>
      <c r="G22" s="2">
        <v>14775000</v>
      </c>
      <c r="H22" s="24">
        <f>+G22/G23</f>
        <v>0.43487858719646799</v>
      </c>
    </row>
    <row r="23" spans="1:12" ht="15" x14ac:dyDescent="0.25">
      <c r="A23" s="73" t="s">
        <v>2</v>
      </c>
      <c r="B23" s="74"/>
      <c r="C23" s="25">
        <f>+C20+C22</f>
        <v>10067625</v>
      </c>
      <c r="D23" s="26">
        <f>SUM(D20:D22)</f>
        <v>1</v>
      </c>
      <c r="E23" s="25">
        <f t="shared" ref="E23:H23" si="5">SUM(E20:E22)</f>
        <v>34475000</v>
      </c>
      <c r="F23" s="26">
        <f t="shared" si="5"/>
        <v>1</v>
      </c>
      <c r="G23" s="25">
        <f t="shared" si="5"/>
        <v>33975000</v>
      </c>
      <c r="H23" s="26">
        <f t="shared" si="5"/>
        <v>1</v>
      </c>
    </row>
    <row r="25" spans="1:12" ht="15" x14ac:dyDescent="0.25">
      <c r="A25" s="47"/>
      <c r="B25" s="48"/>
      <c r="C25" s="48"/>
    </row>
    <row r="26" spans="1:12" ht="18.75" x14ac:dyDescent="0.3">
      <c r="A26" s="68" t="s">
        <v>25</v>
      </c>
      <c r="B26" s="69"/>
      <c r="C26" s="75" t="s">
        <v>19</v>
      </c>
      <c r="D26" s="76"/>
      <c r="E26" s="75" t="s">
        <v>0</v>
      </c>
      <c r="F26" s="76"/>
      <c r="G26" s="75" t="s">
        <v>1</v>
      </c>
      <c r="H26" s="76"/>
      <c r="J26" s="42" t="s">
        <v>38</v>
      </c>
      <c r="K26" s="42" t="s">
        <v>39</v>
      </c>
      <c r="L26" s="42" t="s">
        <v>41</v>
      </c>
    </row>
    <row r="27" spans="1:12" ht="15" x14ac:dyDescent="0.25">
      <c r="A27" s="18" t="s">
        <v>34</v>
      </c>
      <c r="B27" s="16"/>
      <c r="C27" s="36">
        <f>+$C$23*D27</f>
        <v>6543956.25</v>
      </c>
      <c r="D27" s="44">
        <v>0.65</v>
      </c>
      <c r="E27" s="70">
        <f>+D20</f>
        <v>0.6</v>
      </c>
      <c r="F27" s="71"/>
      <c r="G27" s="70">
        <f>+E20</f>
        <v>9200000</v>
      </c>
      <c r="H27" s="71"/>
      <c r="J27" s="40">
        <v>5570517</v>
      </c>
      <c r="K27" s="41">
        <f>+C27-J27</f>
        <v>973439.25</v>
      </c>
      <c r="L27" s="29">
        <f>+K27/C27</f>
        <v>0.14875393612235718</v>
      </c>
    </row>
    <row r="28" spans="1:12" ht="15" x14ac:dyDescent="0.25">
      <c r="A28" s="32" t="s">
        <v>35</v>
      </c>
      <c r="B28" s="16"/>
      <c r="C28" s="36">
        <f t="shared" ref="C28:C30" si="6">+$C$23*D28</f>
        <v>1912848.75</v>
      </c>
      <c r="D28" s="44">
        <v>0.19</v>
      </c>
      <c r="E28" s="38"/>
      <c r="F28" s="37"/>
      <c r="G28" s="36"/>
      <c r="H28" s="37"/>
      <c r="J28" s="40">
        <v>919567</v>
      </c>
      <c r="K28" s="41">
        <f t="shared" ref="K28:K32" si="7">+C28-J28</f>
        <v>993281.75</v>
      </c>
      <c r="L28" s="29">
        <f t="shared" ref="L28:L30" si="8">+K28/C28</f>
        <v>0.51926831643118676</v>
      </c>
    </row>
    <row r="29" spans="1:12" ht="15" x14ac:dyDescent="0.25">
      <c r="A29" s="32" t="s">
        <v>36</v>
      </c>
      <c r="B29" s="16"/>
      <c r="C29" s="36">
        <f t="shared" si="6"/>
        <v>704733.75000000012</v>
      </c>
      <c r="D29" s="44">
        <v>7.0000000000000007E-2</v>
      </c>
      <c r="E29" s="38"/>
      <c r="F29" s="37"/>
      <c r="G29" s="36"/>
      <c r="H29" s="37"/>
      <c r="J29" s="40">
        <v>517557</v>
      </c>
      <c r="K29" s="41">
        <f t="shared" si="7"/>
        <v>187176.75000000012</v>
      </c>
      <c r="L29" s="29">
        <f t="shared" si="8"/>
        <v>0.26559924226702653</v>
      </c>
    </row>
    <row r="30" spans="1:12" ht="15" x14ac:dyDescent="0.25">
      <c r="A30" s="32" t="s">
        <v>37</v>
      </c>
      <c r="B30" s="16"/>
      <c r="C30" s="36">
        <f t="shared" si="6"/>
        <v>906086.25</v>
      </c>
      <c r="D30" s="44">
        <v>0.09</v>
      </c>
      <c r="E30" s="38"/>
      <c r="F30" s="37"/>
      <c r="G30" s="36"/>
      <c r="H30" s="37"/>
      <c r="J30" s="40">
        <v>2648162</v>
      </c>
      <c r="K30" s="41">
        <f t="shared" si="7"/>
        <v>-1742075.75</v>
      </c>
      <c r="L30" s="29">
        <f t="shared" si="8"/>
        <v>-1.9226378835348181</v>
      </c>
    </row>
    <row r="31" spans="1:12" ht="14.25" hidden="1" customHeight="1" x14ac:dyDescent="0.25">
      <c r="A31" s="19"/>
      <c r="B31" s="16"/>
      <c r="C31" s="36"/>
      <c r="D31" s="46"/>
      <c r="E31" s="70" t="e">
        <f>+#REF!</f>
        <v>#REF!</v>
      </c>
      <c r="F31" s="71"/>
      <c r="G31" s="70" t="e">
        <f>+#REF!</f>
        <v>#REF!</v>
      </c>
      <c r="H31" s="71"/>
      <c r="J31" s="40"/>
      <c r="K31" s="41">
        <f t="shared" si="7"/>
        <v>0</v>
      </c>
      <c r="L31" s="29"/>
    </row>
    <row r="32" spans="1:12" ht="15" x14ac:dyDescent="0.25">
      <c r="A32" s="52" t="s">
        <v>17</v>
      </c>
      <c r="B32" s="53"/>
      <c r="C32" s="36">
        <f>SUM(C27:C31)</f>
        <v>10067625</v>
      </c>
      <c r="D32" s="46">
        <f>SUM(D27:D31)</f>
        <v>1.0000000000000002</v>
      </c>
      <c r="E32" s="70" t="e">
        <f>+E27-E31</f>
        <v>#REF!</v>
      </c>
      <c r="F32" s="71"/>
      <c r="G32" s="70" t="e">
        <f>+G27-G31</f>
        <v>#REF!</v>
      </c>
      <c r="H32" s="71"/>
      <c r="J32" s="40">
        <f>SUM(J27:J31)</f>
        <v>9655803</v>
      </c>
      <c r="K32" s="41">
        <f t="shared" si="7"/>
        <v>411822</v>
      </c>
      <c r="L32" s="29">
        <f t="shared" ref="L32" si="9">+K32/C32</f>
        <v>4.0905576042015869E-2</v>
      </c>
    </row>
  </sheetData>
  <mergeCells count="29">
    <mergeCell ref="E27:F27"/>
    <mergeCell ref="G27:H27"/>
    <mergeCell ref="E31:F31"/>
    <mergeCell ref="G31:H31"/>
    <mergeCell ref="A32:B32"/>
    <mergeCell ref="E32:F32"/>
    <mergeCell ref="G32:H32"/>
    <mergeCell ref="A20:B20"/>
    <mergeCell ref="A26:B26"/>
    <mergeCell ref="C26:D26"/>
    <mergeCell ref="E26:F26"/>
    <mergeCell ref="G26:H26"/>
    <mergeCell ref="A22:B22"/>
    <mergeCell ref="A23:B23"/>
    <mergeCell ref="A16:B16"/>
    <mergeCell ref="C18:D18"/>
    <mergeCell ref="E18:F18"/>
    <mergeCell ref="A15:B15"/>
    <mergeCell ref="A2:D2"/>
    <mergeCell ref="A3:G3"/>
    <mergeCell ref="A6:B6"/>
    <mergeCell ref="A7:B7"/>
    <mergeCell ref="A8:B8"/>
    <mergeCell ref="A9:B9"/>
    <mergeCell ref="A10:B10"/>
    <mergeCell ref="A11:B11"/>
    <mergeCell ref="A12:B12"/>
    <mergeCell ref="A13:B13"/>
    <mergeCell ref="G18:H18"/>
  </mergeCells>
  <pageMargins left="0.7" right="0.7" top="0.5" bottom="0.2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8-103</vt:lpstr>
      <vt:lpstr>8-104</vt:lpstr>
      <vt:lpstr>'8-103'!Print_Area</vt:lpstr>
    </vt:vector>
  </TitlesOfParts>
  <Company>AMERESCO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Nathan, Susan</dc:creator>
  <cp:lastModifiedBy>Celia Christensen</cp:lastModifiedBy>
  <cp:lastPrinted>2016-03-23T13:55:48Z</cp:lastPrinted>
  <dcterms:created xsi:type="dcterms:W3CDTF">2015-10-08T20:51:30Z</dcterms:created>
  <dcterms:modified xsi:type="dcterms:W3CDTF">2016-03-23T19:24:29Z</dcterms:modified>
</cp:coreProperties>
</file>